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ables/table1.xml" ContentType="application/vnd.openxmlformats-officedocument.spreadsheetml.table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ios\Desktop\"/>
    </mc:Choice>
  </mc:AlternateContent>
  <xr:revisionPtr revIDLastSave="0" documentId="8_{C3A07382-578B-4D26-B7DD-75188631ABDE}" xr6:coauthVersionLast="47" xr6:coauthVersionMax="47" xr10:uidLastSave="{00000000-0000-0000-0000-000000000000}"/>
  <bookViews>
    <workbookView xWindow="-98" yWindow="-98" windowWidth="21795" windowHeight="12975" tabRatio="739" firstSheet="3" activeTab="3" xr2:uid="{773E52A0-0C43-4B51-9D64-81D197711F3A}"/>
  </bookViews>
  <sheets>
    <sheet name="LOG ændringer" sheetId="43" state="hidden" r:id="rId1"/>
    <sheet name=" Balance akt." sheetId="31" state="hidden" r:id="rId2"/>
    <sheet name=" Balance udvalg" sheetId="33" state="hidden" r:id="rId3"/>
    <sheet name="Budgetforslag 2027-2030" sheetId="24" r:id="rId4"/>
    <sheet name="Finansieringsforslag" sheetId="38" r:id="rId5"/>
    <sheet name="Aktivitetsudvidelser" sheetId="15" r:id="rId6"/>
    <sheet name="Anlægsønsker" sheetId="7" r:id="rId7"/>
    <sheet name="Afledt drift" sheetId="19" r:id="rId8"/>
    <sheet name="Tekniske korrektioner" sheetId="16" state="hidden" r:id="rId9"/>
    <sheet name="Korrektioner vedr. finansiering" sheetId="10" r:id="rId10"/>
    <sheet name="Vedtaget budget i 2026" sheetId="1" state="hidden" r:id="rId11"/>
    <sheet name="Ændringer til vedtaget budget" sheetId="13" state="hidden" r:id="rId12"/>
    <sheet name="prisfremskrivning" sheetId="12" state="hidden" r:id="rId13"/>
    <sheet name="Afstemning" sheetId="21" state="hidden" r:id="rId14"/>
  </sheets>
  <definedNames>
    <definedName name="_xlnm._FilterDatabase" localSheetId="5" hidden="1">Aktivitetsudvidelser!$L$2:$L$189</definedName>
    <definedName name="_xlnm._FilterDatabase" localSheetId="6" hidden="1">Anlægsønsker!$C$2:$C$766</definedName>
    <definedName name="_xlnm._FilterDatabase" localSheetId="4" hidden="1">Finansieringsforslag!$N$2:$N$165</definedName>
    <definedName name="_xlnm._FilterDatabase" localSheetId="8" hidden="1">'Tekniske korrektioner'!$A$13:$Q$374</definedName>
    <definedName name="_GoBack" localSheetId="4">Finansieringsforslag!$B$37</definedName>
    <definedName name="_Toc102655464" localSheetId="5">Aktivitetsudvidelser!$B$59</definedName>
    <definedName name="_Toc102655465" localSheetId="5">Aktivitetsudvidelser!$B$64</definedName>
    <definedName name="_Toc137023395" localSheetId="5">Aktivitetsudvidelser!$B$59</definedName>
    <definedName name="_Toc196311238" localSheetId="4">Finansieringsforslag!$B$143</definedName>
    <definedName name="_Toc196402557" localSheetId="5">Aktivitetsudvidelser!$B$82</definedName>
    <definedName name="_Toc196402560" localSheetId="5">Aktivitetsudvidelser!#REF!</definedName>
    <definedName name="_Toc196402561" localSheetId="5">Aktivitetsudvidelser!#REF!</definedName>
    <definedName name="_Toc196402562" localSheetId="5">Aktivitetsudvidelser!#REF!</definedName>
    <definedName name="_Toc196827022" localSheetId="5">Aktivitetsudvidelser!$B$142</definedName>
    <definedName name="_Toc198109041" localSheetId="5">Aktivitetsudvidelser!#REF!</definedName>
    <definedName name="_Toc233361828" localSheetId="6">Anlægsønsker!$A$209</definedName>
    <definedName name="_Toc238131926" localSheetId="6">Anlægsønsker!#REF!</definedName>
    <definedName name="_Toc269807039" localSheetId="5">Aktivitetsudvidelser!#REF!</definedName>
    <definedName name="_Toc34638328" localSheetId="5">Aktivitetsudvidelser!$B$16</definedName>
    <definedName name="_Toc34640908" localSheetId="4">Finansieringsforslag!$B$37</definedName>
    <definedName name="_Toc34640909" localSheetId="4">Finansieringsforslag!#REF!</definedName>
    <definedName name="_Toc34640910" localSheetId="4">Finansieringsforslag!#REF!</definedName>
    <definedName name="_Toc34640911" localSheetId="4">Finansieringsforslag!#REF!</definedName>
    <definedName name="_Toc41307569" localSheetId="5">Aktivitetsudvidelser!#REF!</definedName>
    <definedName name="_Toc422136273" localSheetId="6">Anlægsønsker!#REF!</definedName>
    <definedName name="_Toc449534135" localSheetId="5">Aktivitetsudvidelser!#REF!</definedName>
    <definedName name="_Toc449534136" localSheetId="5">Aktivitetsudvidelser!#REF!</definedName>
    <definedName name="_Toc452714603" localSheetId="5">Aktivitetsudvidelser!#REF!</definedName>
    <definedName name="_Toc452714604" localSheetId="5">Aktivitetsudvidelser!#REF!</definedName>
    <definedName name="_Toc452714605" localSheetId="5">Aktivitetsudvidelser!$B$141</definedName>
    <definedName name="_Toc480807185" localSheetId="4">Finansieringsforslag!#REF!</definedName>
    <definedName name="_Toc483296837" localSheetId="5">Aktivitetsudvidelser!#REF!</definedName>
    <definedName name="_Toc509499967" localSheetId="5">Aktivitetsudvidelser!#REF!</definedName>
    <definedName name="_Toc509499968" localSheetId="5">Aktivitetsudvidelser!#REF!</definedName>
    <definedName name="_Toc511823335" localSheetId="5">Aktivitetsudvidelser!#REF!</definedName>
    <definedName name="_Toc514753201" localSheetId="5">Aktivitetsudvidelser!#REF!</definedName>
    <definedName name="_Toc517773207" localSheetId="6">Anlægsønsker!#REF!</definedName>
    <definedName name="_Toc517946780" localSheetId="5">Aktivitetsudvidelser!$B$142</definedName>
    <definedName name="_Toc67402931" localSheetId="5">Aktivitetsudvidelser!$B$59</definedName>
    <definedName name="_Toc67402932" localSheetId="5">Aktivitetsudvidelser!#REF!</definedName>
    <definedName name="_Toc72420131" localSheetId="6">Anlægsønsker!#REF!</definedName>
    <definedName name="_Toc72420132" localSheetId="6">Anlægsønsker!#REF!</definedName>
    <definedName name="_Toc72420133" localSheetId="6">Anlægsønsker!#REF!</definedName>
    <definedName name="_Toc72420134" localSheetId="6">Anlægsønsker!#REF!</definedName>
    <definedName name="_Toc72420135" localSheetId="6">Anlægsønsker!#REF!</definedName>
    <definedName name="_Toc72420136" localSheetId="6">Anlægsønsker!#REF!</definedName>
    <definedName name="_Toc72420138" localSheetId="6">Anlægsønsker!#REF!</definedName>
    <definedName name="_Toc72420139" localSheetId="6">Anlægsønsker!#REF!</definedName>
    <definedName name="_Toc72420141" localSheetId="6">Anlægsønsker!#REF!</definedName>
    <definedName name="_Toc72420142" localSheetId="6">Anlægsønsker!$A$285</definedName>
    <definedName name="_Toc72420143" localSheetId="6">Anlægsønsker!#REF!</definedName>
    <definedName name="_Toc72420144" localSheetId="6">Anlægsønsker!#REF!</definedName>
    <definedName name="_Toc72420145" localSheetId="6">Anlægsønsker!#REF!</definedName>
    <definedName name="_Toc72420147" localSheetId="6">Anlægsønsker!#REF!</definedName>
    <definedName name="_Toc72420148" localSheetId="6">Anlægsønsker!#REF!</definedName>
    <definedName name="_Toc72420149" localSheetId="6">Anlægsønsker!#REF!</definedName>
    <definedName name="OLE_LINK11" localSheetId="5">Aktivitetsudvidelser!#REF!</definedName>
    <definedName name="_xlnm.Print_Area" localSheetId="1">' Balance akt.'!$A$207:$E$271</definedName>
    <definedName name="_xlnm.Print_Area" localSheetId="2">' Balance udvalg'!$A$4:$E$68</definedName>
    <definedName name="_xlnm.Print_Area" localSheetId="7">'Afledt drift'!$A$1:$J$76</definedName>
    <definedName name="_xlnm.Print_Area" localSheetId="5">Aktivitetsudvidelser!$B$1:$L$189</definedName>
    <definedName name="_xlnm.Print_Area" localSheetId="6">Anlægsønsker!$A$6:$I$326</definedName>
    <definedName name="_xlnm.Print_Area" localSheetId="3">'Budgetforslag 2027-2030'!$A$1:$L$45</definedName>
    <definedName name="_xlnm.Print_Area" localSheetId="4">Finansieringsforslag!$B$1:$N$175</definedName>
    <definedName name="_xlnm.Print_Area" localSheetId="9">'Korrektioner vedr. finansiering'!$A$1:$G$71</definedName>
    <definedName name="_xlnm.Print_Area" localSheetId="12">prisfremskrivning!$A$1:$H$42</definedName>
    <definedName name="_xlnm.Print_Area" localSheetId="8">'Tekniske korrektioner'!$A$1:$K$321</definedName>
    <definedName name="_xlnm.Print_Area" localSheetId="10">'Vedtaget budget i 2026'!$A$1:$F$39</definedName>
    <definedName name="_xlnm.Print_Area" localSheetId="11">'Ændringer til vedtaget budget'!$A$1:$F$30</definedName>
    <definedName name="_xlnm.Print_Titles" localSheetId="7">'Afledt drift'!$10:$11</definedName>
    <definedName name="_xlnm.Print_Titles" localSheetId="5">Aktivitetsudvidelser!$10:$11</definedName>
    <definedName name="_xlnm.Print_Titles" localSheetId="6">Anlægsønsker!$9:$10</definedName>
    <definedName name="_xlnm.Print_Titles" localSheetId="4">Finansieringsforslag!$9:$10</definedName>
    <definedName name="_xlnm.Print_Titles" localSheetId="9">'Korrektioner vedr. finansiering'!$9:$10</definedName>
    <definedName name="_xlnm.Print_Titles" localSheetId="8">'Tekniske korrektioner'!$10:$11</definedName>
  </definedNames>
  <calcPr calcId="191029"/>
  <pivotCaches>
    <pivotCache cacheId="4" r:id="rId15"/>
    <pivotCache cacheId="5" r:id="rId1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7" i="21" l="1"/>
  <c r="F127" i="21"/>
  <c r="G127" i="21"/>
  <c r="D127" i="21"/>
  <c r="E22" i="21"/>
  <c r="F22" i="21"/>
  <c r="G22" i="21"/>
  <c r="D22" i="21"/>
  <c r="I34" i="38"/>
  <c r="J34" i="38"/>
  <c r="K34" i="38"/>
  <c r="H34" i="38"/>
  <c r="G225" i="7"/>
  <c r="F225" i="7"/>
  <c r="G224" i="7"/>
  <c r="F224" i="7"/>
  <c r="D47" i="24"/>
  <c r="E47" i="24"/>
  <c r="F47" i="24"/>
  <c r="C47" i="24"/>
  <c r="F36" i="15"/>
  <c r="F35" i="15"/>
  <c r="G148" i="7"/>
  <c r="G143" i="7"/>
  <c r="F143" i="7"/>
  <c r="E143" i="7"/>
  <c r="D143" i="7"/>
  <c r="I94" i="7"/>
  <c r="G23" i="15"/>
  <c r="H23" i="15"/>
  <c r="I23" i="15"/>
  <c r="D57" i="24"/>
  <c r="E57" i="24"/>
  <c r="F57" i="24"/>
  <c r="C57" i="24"/>
  <c r="I84" i="7"/>
  <c r="F33" i="15" l="1"/>
  <c r="F32" i="15"/>
  <c r="B34" i="24"/>
  <c r="B31" i="24" s="1"/>
  <c r="G12" i="15"/>
  <c r="H12" i="15"/>
  <c r="I12" i="15"/>
  <c r="F12" i="15"/>
  <c r="D55" i="24"/>
  <c r="E55" i="24"/>
  <c r="F55" i="24"/>
  <c r="C55" i="24"/>
  <c r="B35" i="1"/>
  <c r="D67" i="21"/>
  <c r="D189" i="21"/>
  <c r="B13" i="1"/>
  <c r="E103" i="7"/>
  <c r="D103" i="7"/>
  <c r="E101" i="7"/>
  <c r="D101" i="7"/>
  <c r="E97" i="7"/>
  <c r="D97" i="7"/>
  <c r="E93" i="7"/>
  <c r="D93" i="7"/>
  <c r="E91" i="7"/>
  <c r="D91" i="7"/>
  <c r="E83" i="7"/>
  <c r="D83" i="7"/>
  <c r="E81" i="7"/>
  <c r="D81" i="7"/>
  <c r="E75" i="7"/>
  <c r="D75" i="7"/>
  <c r="E72" i="7"/>
  <c r="D72" i="7"/>
  <c r="E68" i="7"/>
  <c r="D68" i="7"/>
  <c r="E63" i="7"/>
  <c r="D63" i="7"/>
  <c r="E58" i="7"/>
  <c r="D58" i="7"/>
  <c r="E55" i="7"/>
  <c r="D55" i="7"/>
  <c r="E53" i="7"/>
  <c r="D53" i="7"/>
  <c r="E50" i="7"/>
  <c r="D50" i="7"/>
  <c r="E40" i="7"/>
  <c r="D40" i="7"/>
  <c r="E35" i="7"/>
  <c r="D35" i="7"/>
  <c r="E30" i="7"/>
  <c r="D30" i="7"/>
  <c r="E23" i="7"/>
  <c r="D23" i="7"/>
  <c r="D56" i="24"/>
  <c r="E56" i="24"/>
  <c r="F56" i="24"/>
  <c r="C56" i="24"/>
  <c r="D116" i="7" l="1"/>
  <c r="B16" i="1"/>
  <c r="F70" i="16"/>
  <c r="F256" i="16"/>
  <c r="B14" i="1"/>
  <c r="B12" i="1"/>
  <c r="D130" i="7"/>
  <c r="G130" i="7"/>
  <c r="F130" i="7"/>
  <c r="E130" i="7"/>
  <c r="F138" i="7" l="1"/>
  <c r="F137" i="7"/>
  <c r="D137" i="7" l="1"/>
  <c r="E230" i="7"/>
  <c r="G219" i="7" l="1"/>
  <c r="G218" i="7"/>
  <c r="F218" i="7"/>
  <c r="F219" i="7"/>
  <c r="G153" i="7" l="1"/>
  <c r="F18" i="12" l="1"/>
  <c r="G218" i="16" l="1"/>
  <c r="H218" i="16"/>
  <c r="I218" i="16"/>
  <c r="F218" i="16"/>
  <c r="I92" i="16" l="1"/>
  <c r="H92" i="16"/>
  <c r="G92" i="16"/>
  <c r="F92" i="16"/>
  <c r="I174" i="16" l="1"/>
  <c r="H174" i="16"/>
  <c r="G174" i="16"/>
  <c r="I299" i="16" l="1"/>
  <c r="G141" i="21" s="1"/>
  <c r="H299" i="16"/>
  <c r="F141" i="21" s="1"/>
  <c r="G299" i="16"/>
  <c r="E141" i="21" s="1"/>
  <c r="F299" i="16"/>
  <c r="D141" i="21" s="1"/>
  <c r="I273" i="16"/>
  <c r="G132" i="21" s="1"/>
  <c r="H273" i="16"/>
  <c r="F132" i="21" s="1"/>
  <c r="G273" i="16"/>
  <c r="E132" i="21" s="1"/>
  <c r="F273" i="16"/>
  <c r="D132" i="21" s="1"/>
  <c r="I211" i="16"/>
  <c r="H211" i="16"/>
  <c r="G211" i="16"/>
  <c r="F211" i="16"/>
  <c r="F64" i="24"/>
  <c r="E64" i="24"/>
  <c r="D64" i="24"/>
  <c r="C64" i="24"/>
  <c r="F63" i="24"/>
  <c r="E63" i="24"/>
  <c r="D63" i="24"/>
  <c r="D89" i="21"/>
  <c r="O264" i="16"/>
  <c r="O259" i="16"/>
  <c r="D98" i="21"/>
  <c r="G150" i="21"/>
  <c r="F150" i="21"/>
  <c r="E150" i="21"/>
  <c r="D150" i="21"/>
  <c r="F186" i="21"/>
  <c r="E186" i="21"/>
  <c r="D186" i="21"/>
  <c r="G168" i="21"/>
  <c r="F168" i="21"/>
  <c r="E168" i="21"/>
  <c r="D168" i="21"/>
  <c r="G55" i="16"/>
  <c r="H55" i="16"/>
  <c r="I55" i="16"/>
  <c r="F55" i="16"/>
  <c r="H75" i="19"/>
  <c r="G75" i="19"/>
  <c r="F75" i="19"/>
  <c r="E75" i="19"/>
  <c r="H54" i="19"/>
  <c r="G54" i="19"/>
  <c r="F54" i="19"/>
  <c r="E54" i="19"/>
  <c r="G200" i="7"/>
  <c r="F200" i="7"/>
  <c r="E200" i="7"/>
  <c r="D200" i="7"/>
  <c r="E165" i="7"/>
  <c r="D165" i="7"/>
  <c r="O274" i="16" l="1"/>
  <c r="I46" i="16"/>
  <c r="H46" i="16"/>
  <c r="H376" i="16" s="1"/>
  <c r="G46" i="16"/>
  <c r="G376" i="16" s="1"/>
  <c r="F46" i="16"/>
  <c r="F376" i="16" s="1"/>
  <c r="J157" i="15" l="1"/>
  <c r="L144" i="38"/>
  <c r="L143" i="38"/>
  <c r="J69" i="15" l="1"/>
  <c r="L151" i="38"/>
  <c r="L122" i="38" l="1"/>
  <c r="L141" i="38"/>
  <c r="L28" i="38" l="1"/>
  <c r="K28" i="38"/>
  <c r="K11" i="38" s="1"/>
  <c r="F50" i="24" s="1"/>
  <c r="I28" i="38"/>
  <c r="I11" i="38" s="1"/>
  <c r="D50" i="24" s="1"/>
  <c r="J28" i="38"/>
  <c r="J11" i="38" s="1"/>
  <c r="E50" i="24" s="1"/>
  <c r="H28" i="38"/>
  <c r="H11" i="38" s="1"/>
  <c r="C50" i="24" s="1"/>
  <c r="L17" i="38"/>
  <c r="L16" i="38"/>
  <c r="C63" i="24"/>
  <c r="H27" i="33"/>
  <c r="H6" i="33"/>
  <c r="G27" i="33"/>
  <c r="G24" i="33"/>
  <c r="G21" i="33"/>
  <c r="G18" i="33"/>
  <c r="G15" i="33"/>
  <c r="G12" i="33"/>
  <c r="G9" i="33"/>
  <c r="G6" i="33"/>
  <c r="I122" i="31"/>
  <c r="I121" i="31"/>
  <c r="I120" i="31"/>
  <c r="I119" i="31"/>
  <c r="I118" i="31"/>
  <c r="I117" i="31"/>
  <c r="I116" i="31"/>
  <c r="I185" i="31"/>
  <c r="I184" i="31"/>
  <c r="I183" i="31"/>
  <c r="I182" i="31"/>
  <c r="I181" i="31"/>
  <c r="I180" i="31"/>
  <c r="I179" i="31"/>
  <c r="E189" i="31"/>
  <c r="F189" i="31"/>
  <c r="G189" i="31"/>
  <c r="D189" i="31"/>
  <c r="E180" i="31"/>
  <c r="F180" i="31"/>
  <c r="G180" i="31"/>
  <c r="D180" i="31"/>
  <c r="E117" i="31"/>
  <c r="F117" i="31"/>
  <c r="G117" i="31"/>
  <c r="D117" i="31"/>
  <c r="G30" i="33" l="1"/>
  <c r="H30" i="33" s="1"/>
  <c r="G14" i="7" l="1"/>
  <c r="J193" i="21"/>
  <c r="M193" i="21"/>
  <c r="L193" i="21"/>
  <c r="K193" i="21"/>
  <c r="F12" i="16"/>
  <c r="F377" i="16" s="1"/>
  <c r="G197" i="21"/>
  <c r="F197" i="21"/>
  <c r="E197" i="21"/>
  <c r="D197" i="21"/>
  <c r="D184" i="31" l="1"/>
  <c r="D188" i="21"/>
  <c r="D183" i="31" s="1"/>
  <c r="D187" i="21"/>
  <c r="D182" i="31" s="1"/>
  <c r="E189" i="21"/>
  <c r="E184" i="31" s="1"/>
  <c r="E188" i="21"/>
  <c r="E183" i="31" s="1"/>
  <c r="E187" i="21"/>
  <c r="E182" i="31" s="1"/>
  <c r="F189" i="21"/>
  <c r="F184" i="31" s="1"/>
  <c r="F188" i="21"/>
  <c r="F183" i="31" s="1"/>
  <c r="F187" i="21"/>
  <c r="F182" i="31" s="1"/>
  <c r="G189" i="21"/>
  <c r="G184" i="31" s="1"/>
  <c r="G188" i="21"/>
  <c r="G183" i="31" s="1"/>
  <c r="G187" i="21"/>
  <c r="G182" i="31" s="1"/>
  <c r="G186" i="21"/>
  <c r="G181" i="31" s="1"/>
  <c r="F181" i="31"/>
  <c r="E181" i="31"/>
  <c r="D181" i="31"/>
  <c r="D121" i="31"/>
  <c r="J121" i="31" s="1"/>
  <c r="D126" i="21"/>
  <c r="D120" i="31" s="1"/>
  <c r="J120" i="31" s="1"/>
  <c r="E125" i="21"/>
  <c r="E119" i="31" s="1"/>
  <c r="K119" i="31" s="1"/>
  <c r="E126" i="21"/>
  <c r="E120" i="31" s="1"/>
  <c r="K120" i="31" s="1"/>
  <c r="E121" i="31"/>
  <c r="K121" i="31" s="1"/>
  <c r="G121" i="31"/>
  <c r="M121" i="31" s="1"/>
  <c r="F121" i="31"/>
  <c r="L121" i="31" s="1"/>
  <c r="F126" i="21"/>
  <c r="F120" i="31" s="1"/>
  <c r="L120" i="31" s="1"/>
  <c r="G126" i="21"/>
  <c r="G120" i="31" s="1"/>
  <c r="M120" i="31" s="1"/>
  <c r="G125" i="21"/>
  <c r="G119" i="31" s="1"/>
  <c r="M119" i="31" s="1"/>
  <c r="F125" i="21"/>
  <c r="F119" i="31" s="1"/>
  <c r="L119" i="31" s="1"/>
  <c r="D125" i="21"/>
  <c r="D119" i="31" s="1"/>
  <c r="J119" i="31" s="1"/>
  <c r="G124" i="21"/>
  <c r="G118" i="31" s="1"/>
  <c r="F124" i="21"/>
  <c r="F118" i="31" s="1"/>
  <c r="E124" i="21"/>
  <c r="E118" i="31" s="1"/>
  <c r="D124" i="21"/>
  <c r="D118" i="31" s="1"/>
  <c r="B128" i="21"/>
  <c r="B123" i="21"/>
  <c r="G73" i="21"/>
  <c r="G74" i="21"/>
  <c r="G75" i="21"/>
  <c r="F75" i="21"/>
  <c r="F74" i="21"/>
  <c r="F73" i="21"/>
  <c r="F72" i="21"/>
  <c r="E75" i="21"/>
  <c r="E74" i="21"/>
  <c r="E73" i="21"/>
  <c r="D75" i="21"/>
  <c r="D74" i="21"/>
  <c r="D73" i="21"/>
  <c r="E72" i="21"/>
  <c r="G72" i="21"/>
  <c r="D72" i="21"/>
  <c r="O76" i="21"/>
  <c r="B76" i="21"/>
  <c r="B71" i="21"/>
  <c r="I21" i="16"/>
  <c r="I376" i="16" s="1"/>
  <c r="L183" i="31" l="1"/>
  <c r="K183" i="31"/>
  <c r="M183" i="31"/>
  <c r="J183" i="31"/>
  <c r="L184" i="31"/>
  <c r="M184" i="31"/>
  <c r="K184" i="31"/>
  <c r="J184" i="31"/>
  <c r="M182" i="31"/>
  <c r="L182" i="31"/>
  <c r="K182" i="31"/>
  <c r="J182" i="31"/>
  <c r="M181" i="31"/>
  <c r="G185" i="31"/>
  <c r="L181" i="31"/>
  <c r="F185" i="31"/>
  <c r="D185" i="31"/>
  <c r="J181" i="31"/>
  <c r="E185" i="31"/>
  <c r="K181" i="31"/>
  <c r="M118" i="31"/>
  <c r="G122" i="31"/>
  <c r="L118" i="31"/>
  <c r="F122" i="31"/>
  <c r="K118" i="31"/>
  <c r="E122" i="31"/>
  <c r="J118" i="31"/>
  <c r="D122" i="31"/>
  <c r="D128" i="21"/>
  <c r="J125" i="21" s="1"/>
  <c r="F128" i="21"/>
  <c r="L125" i="21" s="1"/>
  <c r="G128" i="21"/>
  <c r="M125" i="21" s="1"/>
  <c r="E128" i="21"/>
  <c r="K125" i="21" s="1"/>
  <c r="D76" i="21"/>
  <c r="J73" i="21" s="1"/>
  <c r="E76" i="21"/>
  <c r="K73" i="21" s="1"/>
  <c r="F76" i="21"/>
  <c r="L73" i="21" s="1"/>
  <c r="G76" i="21"/>
  <c r="M73" i="21" s="1"/>
  <c r="F42" i="24" l="1"/>
  <c r="D42" i="24" l="1"/>
  <c r="E42" i="24"/>
  <c r="F7" i="12"/>
  <c r="F8" i="12" s="1"/>
  <c r="C35" i="1" l="1"/>
  <c r="C10" i="1"/>
  <c r="G7" i="12"/>
  <c r="G8" i="12" s="1"/>
  <c r="D11" i="10"/>
  <c r="E15" i="19"/>
  <c r="C3" i="24" l="1"/>
  <c r="F11" i="15" s="1"/>
  <c r="H10" i="38" l="1"/>
  <c r="D7" i="31"/>
  <c r="E7" i="31" s="1"/>
  <c r="C7" i="1"/>
  <c r="D10" i="7"/>
  <c r="C4" i="13"/>
  <c r="D4" i="13" s="1"/>
  <c r="D10" i="10"/>
  <c r="E11" i="19"/>
  <c r="E42" i="12"/>
  <c r="E5" i="12" s="1"/>
  <c r="D7" i="21"/>
  <c r="D117" i="7" l="1"/>
  <c r="C59" i="24" s="1"/>
  <c r="D323" i="7" l="1"/>
  <c r="D14" i="7"/>
  <c r="G159" i="21" l="1"/>
  <c r="F159" i="21"/>
  <c r="E159" i="21"/>
  <c r="D159" i="21"/>
  <c r="D37" i="21" l="1"/>
  <c r="B15" i="1"/>
  <c r="F14" i="7" l="1"/>
  <c r="E16" i="24"/>
  <c r="G177" i="21" l="1"/>
  <c r="F177" i="21"/>
  <c r="E177" i="21"/>
  <c r="D177" i="21"/>
  <c r="G12" i="16" l="1"/>
  <c r="G377" i="16" s="1"/>
  <c r="O68" i="21" l="1"/>
  <c r="D42" i="10" l="1"/>
  <c r="C19" i="13" s="1"/>
  <c r="C24" i="24" s="1"/>
  <c r="E26" i="10"/>
  <c r="D17" i="13" s="1"/>
  <c r="D7" i="24" s="1"/>
  <c r="F26" i="10"/>
  <c r="E17" i="13" s="1"/>
  <c r="E7" i="24" s="1"/>
  <c r="G26" i="10"/>
  <c r="F17" i="13" s="1"/>
  <c r="F7" i="24" s="1"/>
  <c r="D26" i="10"/>
  <c r="C17" i="13" s="1"/>
  <c r="C7" i="24" s="1"/>
  <c r="G89" i="21"/>
  <c r="G82" i="31" s="1"/>
  <c r="M82" i="31" s="1"/>
  <c r="F89" i="21"/>
  <c r="F82" i="31" s="1"/>
  <c r="L82" i="31" s="1"/>
  <c r="E89" i="21"/>
  <c r="E82" i="31" s="1"/>
  <c r="K82" i="31" s="1"/>
  <c r="D82" i="31"/>
  <c r="J82" i="31" s="1"/>
  <c r="E163" i="31"/>
  <c r="K163" i="31" s="1"/>
  <c r="D163" i="31"/>
  <c r="J163" i="31" s="1"/>
  <c r="G145" i="31"/>
  <c r="M145" i="31" s="1"/>
  <c r="F145" i="31"/>
  <c r="L145" i="31" s="1"/>
  <c r="E145" i="31"/>
  <c r="K145" i="31" s="1"/>
  <c r="D145" i="31"/>
  <c r="J145" i="31" s="1"/>
  <c r="G136" i="31"/>
  <c r="G30" i="10"/>
  <c r="E13" i="10"/>
  <c r="F13" i="10"/>
  <c r="E16" i="13" s="1"/>
  <c r="E6" i="24" s="1"/>
  <c r="D13" i="10"/>
  <c r="C16" i="13" s="1"/>
  <c r="C6" i="24" s="1"/>
  <c r="D143" i="21"/>
  <c r="D138" i="31" s="1"/>
  <c r="J138" i="31" s="1"/>
  <c r="E143" i="21"/>
  <c r="E138" i="31" s="1"/>
  <c r="K138" i="31" s="1"/>
  <c r="F143" i="21"/>
  <c r="F138" i="31" s="1"/>
  <c r="L138" i="31" s="1"/>
  <c r="G143" i="21"/>
  <c r="G138" i="31" s="1"/>
  <c r="M138" i="31" s="1"/>
  <c r="D144" i="21"/>
  <c r="D139" i="31" s="1"/>
  <c r="J139" i="31" s="1"/>
  <c r="E144" i="21"/>
  <c r="E139" i="31" s="1"/>
  <c r="K139" i="31" s="1"/>
  <c r="F144" i="21"/>
  <c r="F139" i="31" s="1"/>
  <c r="L139" i="31" s="1"/>
  <c r="G144" i="21"/>
  <c r="G139" i="31" s="1"/>
  <c r="M139" i="31" s="1"/>
  <c r="H18" i="19"/>
  <c r="E60" i="19"/>
  <c r="D142" i="21" s="1"/>
  <c r="D137" i="31" s="1"/>
  <c r="J137" i="31" s="1"/>
  <c r="E18" i="19"/>
  <c r="D20" i="21" s="1"/>
  <c r="D20" i="31" s="1"/>
  <c r="J20" i="31" s="1"/>
  <c r="B7" i="24"/>
  <c r="G63" i="10"/>
  <c r="F22" i="13" s="1"/>
  <c r="F26" i="24" s="1"/>
  <c r="F63" i="10"/>
  <c r="E22" i="13" s="1"/>
  <c r="E26" i="24" s="1"/>
  <c r="D63" i="10"/>
  <c r="D35" i="1"/>
  <c r="E35" i="1" s="1"/>
  <c r="F35" i="1" s="1"/>
  <c r="B18" i="1"/>
  <c r="B14" i="24" s="1"/>
  <c r="E116" i="7"/>
  <c r="C12" i="13"/>
  <c r="D172" i="31"/>
  <c r="J172" i="31" s="1"/>
  <c r="G180" i="21"/>
  <c r="G175" i="31" s="1"/>
  <c r="F180" i="21"/>
  <c r="F175" i="31" s="1"/>
  <c r="E180" i="21"/>
  <c r="E175" i="31" s="1"/>
  <c r="D180" i="21"/>
  <c r="D175" i="31" s="1"/>
  <c r="G171" i="21"/>
  <c r="G166" i="31" s="1"/>
  <c r="M166" i="31" s="1"/>
  <c r="F171" i="21"/>
  <c r="F166" i="31" s="1"/>
  <c r="L166" i="31" s="1"/>
  <c r="E171" i="21"/>
  <c r="E166" i="31" s="1"/>
  <c r="K166" i="31" s="1"/>
  <c r="D171" i="21"/>
  <c r="D166" i="31" s="1"/>
  <c r="J166" i="31" s="1"/>
  <c r="G162" i="21"/>
  <c r="G157" i="31" s="1"/>
  <c r="M157" i="31" s="1"/>
  <c r="F162" i="21"/>
  <c r="F157" i="31" s="1"/>
  <c r="L157" i="31" s="1"/>
  <c r="E162" i="21"/>
  <c r="E157" i="31" s="1"/>
  <c r="K157" i="31" s="1"/>
  <c r="D162" i="21"/>
  <c r="D157" i="31" s="1"/>
  <c r="J157" i="31" s="1"/>
  <c r="G153" i="21"/>
  <c r="G148" i="31" s="1"/>
  <c r="M148" i="31" s="1"/>
  <c r="F153" i="21"/>
  <c r="F148" i="31" s="1"/>
  <c r="L148" i="31" s="1"/>
  <c r="E153" i="21"/>
  <c r="E148" i="31" s="1"/>
  <c r="K148" i="31" s="1"/>
  <c r="D153" i="21"/>
  <c r="D148" i="31" s="1"/>
  <c r="J148" i="31" s="1"/>
  <c r="G135" i="21"/>
  <c r="G130" i="31" s="1"/>
  <c r="M130" i="31" s="1"/>
  <c r="F135" i="21"/>
  <c r="F130" i="31" s="1"/>
  <c r="L130" i="31" s="1"/>
  <c r="E135" i="21"/>
  <c r="E130" i="31" s="1"/>
  <c r="K130" i="31" s="1"/>
  <c r="D135" i="21"/>
  <c r="D130" i="31" s="1"/>
  <c r="J130" i="31" s="1"/>
  <c r="G119" i="21"/>
  <c r="G112" i="31" s="1"/>
  <c r="M112" i="31" s="1"/>
  <c r="F119" i="21"/>
  <c r="F112" i="31" s="1"/>
  <c r="L112" i="31" s="1"/>
  <c r="E119" i="21"/>
  <c r="E112" i="31" s="1"/>
  <c r="K112" i="31" s="1"/>
  <c r="D119" i="21"/>
  <c r="D112" i="31" s="1"/>
  <c r="J112" i="31" s="1"/>
  <c r="G110" i="21"/>
  <c r="G103" i="31" s="1"/>
  <c r="M103" i="31" s="1"/>
  <c r="F110" i="21"/>
  <c r="F103" i="31" s="1"/>
  <c r="L103" i="31" s="1"/>
  <c r="E110" i="21"/>
  <c r="E103" i="31" s="1"/>
  <c r="K103" i="31" s="1"/>
  <c r="D110" i="21"/>
  <c r="D103" i="31" s="1"/>
  <c r="J103" i="31" s="1"/>
  <c r="G101" i="21"/>
  <c r="G94" i="31" s="1"/>
  <c r="F101" i="21"/>
  <c r="F94" i="31" s="1"/>
  <c r="E101" i="21"/>
  <c r="E94" i="31" s="1"/>
  <c r="D101" i="21"/>
  <c r="D94" i="31" s="1"/>
  <c r="G92" i="21"/>
  <c r="G85" i="31" s="1"/>
  <c r="M85" i="31" s="1"/>
  <c r="F92" i="21"/>
  <c r="F85" i="31" s="1"/>
  <c r="L85" i="31" s="1"/>
  <c r="E92" i="21"/>
  <c r="E85" i="31" s="1"/>
  <c r="K85" i="31" s="1"/>
  <c r="D92" i="21"/>
  <c r="D85" i="31" s="1"/>
  <c r="J85" i="31" s="1"/>
  <c r="G83" i="21"/>
  <c r="G76" i="31" s="1"/>
  <c r="M76" i="31" s="1"/>
  <c r="F83" i="21"/>
  <c r="F76" i="31" s="1"/>
  <c r="L76" i="31" s="1"/>
  <c r="E83" i="21"/>
  <c r="E76" i="31" s="1"/>
  <c r="K76" i="31" s="1"/>
  <c r="D83" i="21"/>
  <c r="D76" i="31" s="1"/>
  <c r="J76" i="31" s="1"/>
  <c r="G67" i="21"/>
  <c r="G67" i="31" s="1"/>
  <c r="M67" i="31" s="1"/>
  <c r="F67" i="21"/>
  <c r="F67" i="31" s="1"/>
  <c r="L67" i="31" s="1"/>
  <c r="E67" i="21"/>
  <c r="E67" i="31" s="1"/>
  <c r="K67" i="31" s="1"/>
  <c r="D67" i="31"/>
  <c r="J67" i="31" s="1"/>
  <c r="G58" i="21"/>
  <c r="G58" i="31" s="1"/>
  <c r="M58" i="31" s="1"/>
  <c r="F58" i="21"/>
  <c r="F58" i="31" s="1"/>
  <c r="L58" i="31" s="1"/>
  <c r="E58" i="21"/>
  <c r="E58" i="31" s="1"/>
  <c r="K58" i="31" s="1"/>
  <c r="D58" i="21"/>
  <c r="D58" i="31" s="1"/>
  <c r="J58" i="31" s="1"/>
  <c r="G49" i="21"/>
  <c r="G49" i="31" s="1"/>
  <c r="M49" i="31" s="1"/>
  <c r="F49" i="21"/>
  <c r="F49" i="31" s="1"/>
  <c r="L49" i="31" s="1"/>
  <c r="E49" i="21"/>
  <c r="E49" i="31" s="1"/>
  <c r="K49" i="31" s="1"/>
  <c r="D49" i="21"/>
  <c r="D49" i="31" s="1"/>
  <c r="J49" i="31" s="1"/>
  <c r="G40" i="21"/>
  <c r="G40" i="31" s="1"/>
  <c r="M40" i="31" s="1"/>
  <c r="F40" i="21"/>
  <c r="F40" i="31" s="1"/>
  <c r="L40" i="31" s="1"/>
  <c r="E40" i="21"/>
  <c r="E40" i="31" s="1"/>
  <c r="K40" i="31" s="1"/>
  <c r="D40" i="21"/>
  <c r="D40" i="31" s="1"/>
  <c r="J40" i="31" s="1"/>
  <c r="G31" i="21"/>
  <c r="G31" i="31" s="1"/>
  <c r="M31" i="31" s="1"/>
  <c r="F31" i="21"/>
  <c r="F31" i="31" s="1"/>
  <c r="L31" i="31" s="1"/>
  <c r="E31" i="21"/>
  <c r="E31" i="31" s="1"/>
  <c r="K31" i="31" s="1"/>
  <c r="D31" i="21"/>
  <c r="D31" i="31" s="1"/>
  <c r="J31" i="31" s="1"/>
  <c r="G22" i="31"/>
  <c r="M22" i="31" s="1"/>
  <c r="F22" i="31"/>
  <c r="L22" i="31" s="1"/>
  <c r="E22" i="31"/>
  <c r="K22" i="31" s="1"/>
  <c r="D22" i="31"/>
  <c r="J22" i="31" s="1"/>
  <c r="D13" i="21"/>
  <c r="G13" i="21"/>
  <c r="F13" i="21"/>
  <c r="E13" i="21"/>
  <c r="I10" i="38"/>
  <c r="J10" i="38" s="1"/>
  <c r="K10" i="38" s="1"/>
  <c r="D15" i="7"/>
  <c r="C13" i="13" s="1"/>
  <c r="H24" i="33"/>
  <c r="H12" i="33"/>
  <c r="E171" i="31"/>
  <c r="F171" i="31"/>
  <c r="G171" i="31"/>
  <c r="D171" i="31"/>
  <c r="E162" i="31"/>
  <c r="F162" i="31"/>
  <c r="G162" i="31"/>
  <c r="D162" i="31"/>
  <c r="E153" i="31"/>
  <c r="F153" i="31"/>
  <c r="G153" i="31"/>
  <c r="D153" i="31"/>
  <c r="E144" i="31"/>
  <c r="F144" i="31"/>
  <c r="G144" i="31"/>
  <c r="D144" i="31"/>
  <c r="E135" i="31"/>
  <c r="F135" i="31"/>
  <c r="G135" i="31"/>
  <c r="D135" i="31"/>
  <c r="E126" i="31"/>
  <c r="F126" i="31"/>
  <c r="G126" i="31"/>
  <c r="D126" i="31"/>
  <c r="E108" i="31"/>
  <c r="F108" i="31"/>
  <c r="G108" i="31"/>
  <c r="D108" i="31"/>
  <c r="E99" i="31"/>
  <c r="F99" i="31"/>
  <c r="G99" i="31"/>
  <c r="D99" i="31"/>
  <c r="E90" i="31"/>
  <c r="F90" i="31"/>
  <c r="G90" i="31"/>
  <c r="D90" i="31"/>
  <c r="E81" i="31"/>
  <c r="F81" i="31"/>
  <c r="G81" i="31"/>
  <c r="D81" i="31"/>
  <c r="E72" i="31"/>
  <c r="F72" i="31"/>
  <c r="G72" i="31"/>
  <c r="D72" i="31"/>
  <c r="E63" i="31"/>
  <c r="F63" i="31"/>
  <c r="G63" i="31"/>
  <c r="D63" i="31"/>
  <c r="E54" i="31"/>
  <c r="F54" i="31"/>
  <c r="G54" i="31"/>
  <c r="D54" i="31"/>
  <c r="E45" i="31"/>
  <c r="F45" i="31"/>
  <c r="G45" i="31"/>
  <c r="D45" i="31"/>
  <c r="E36" i="31"/>
  <c r="F36" i="31"/>
  <c r="G36" i="31"/>
  <c r="D36" i="31"/>
  <c r="E27" i="31"/>
  <c r="F27" i="31"/>
  <c r="G27" i="31"/>
  <c r="D27" i="31"/>
  <c r="E18" i="31"/>
  <c r="F18" i="31"/>
  <c r="G18" i="31"/>
  <c r="D18" i="31"/>
  <c r="E9" i="31"/>
  <c r="F9" i="31"/>
  <c r="G9" i="31"/>
  <c r="D9" i="31"/>
  <c r="I195" i="31"/>
  <c r="I9" i="31"/>
  <c r="I10" i="31"/>
  <c r="I11" i="31"/>
  <c r="I12" i="31"/>
  <c r="I13" i="31"/>
  <c r="I14" i="31"/>
  <c r="I15" i="31"/>
  <c r="I16" i="31"/>
  <c r="I17" i="31"/>
  <c r="I18" i="31"/>
  <c r="I19" i="31"/>
  <c r="I20" i="31"/>
  <c r="I21" i="31"/>
  <c r="I22" i="31"/>
  <c r="I23" i="31"/>
  <c r="I24" i="31"/>
  <c r="I25" i="31"/>
  <c r="I26" i="31"/>
  <c r="I27" i="31"/>
  <c r="I28" i="31"/>
  <c r="I29" i="31"/>
  <c r="I30" i="31"/>
  <c r="I31" i="31"/>
  <c r="I32" i="31"/>
  <c r="I33" i="31"/>
  <c r="I34" i="31"/>
  <c r="I35" i="31"/>
  <c r="I36" i="31"/>
  <c r="I37" i="31"/>
  <c r="I38" i="31"/>
  <c r="I39" i="31"/>
  <c r="I40" i="31"/>
  <c r="I41" i="31"/>
  <c r="I42" i="31"/>
  <c r="I43" i="31"/>
  <c r="I44" i="31"/>
  <c r="I45" i="31"/>
  <c r="I46" i="31"/>
  <c r="I47" i="31"/>
  <c r="I48" i="31"/>
  <c r="I49" i="31"/>
  <c r="I50" i="31"/>
  <c r="I51" i="31"/>
  <c r="I52" i="31"/>
  <c r="I53" i="31"/>
  <c r="I54" i="31"/>
  <c r="I55" i="31"/>
  <c r="I56" i="31"/>
  <c r="I57" i="31"/>
  <c r="I58" i="31"/>
  <c r="I59" i="31"/>
  <c r="I60" i="31"/>
  <c r="I61" i="31"/>
  <c r="I62" i="31"/>
  <c r="I63" i="31"/>
  <c r="I64" i="31"/>
  <c r="I65" i="31"/>
  <c r="I66" i="31"/>
  <c r="I67" i="31"/>
  <c r="I68" i="31"/>
  <c r="I69" i="31"/>
  <c r="I70" i="31"/>
  <c r="I71" i="31"/>
  <c r="I72" i="31"/>
  <c r="I73" i="31"/>
  <c r="I74" i="31"/>
  <c r="I75" i="31"/>
  <c r="I76" i="31"/>
  <c r="I77" i="31"/>
  <c r="I78" i="31"/>
  <c r="I79" i="31"/>
  <c r="I80" i="31"/>
  <c r="I81" i="31"/>
  <c r="I82" i="31"/>
  <c r="I83" i="31"/>
  <c r="I84" i="31"/>
  <c r="I85" i="31"/>
  <c r="I86" i="31"/>
  <c r="I87" i="31"/>
  <c r="I88" i="31"/>
  <c r="I89" i="31"/>
  <c r="I90" i="31"/>
  <c r="I91" i="31"/>
  <c r="I92" i="31"/>
  <c r="I93" i="31"/>
  <c r="I94" i="31"/>
  <c r="I95" i="31"/>
  <c r="I96" i="31"/>
  <c r="I97" i="31"/>
  <c r="I98" i="31"/>
  <c r="I99" i="31"/>
  <c r="I100" i="31"/>
  <c r="I101" i="31"/>
  <c r="I102" i="31"/>
  <c r="I103" i="31"/>
  <c r="I104" i="31"/>
  <c r="I105" i="31"/>
  <c r="I106" i="31"/>
  <c r="I107" i="31"/>
  <c r="I108" i="31"/>
  <c r="I109" i="31"/>
  <c r="I110" i="31"/>
  <c r="I111" i="31"/>
  <c r="I112" i="31"/>
  <c r="I113" i="31"/>
  <c r="I114" i="31"/>
  <c r="I115" i="31"/>
  <c r="I125" i="31"/>
  <c r="I126" i="31"/>
  <c r="I127" i="31"/>
  <c r="I128" i="31"/>
  <c r="I129" i="31"/>
  <c r="I130" i="31"/>
  <c r="I131" i="31"/>
  <c r="I132" i="31"/>
  <c r="I133" i="31"/>
  <c r="I134" i="31"/>
  <c r="I135" i="31"/>
  <c r="I136" i="31"/>
  <c r="I137" i="31"/>
  <c r="I138" i="31"/>
  <c r="I139" i="31"/>
  <c r="I140" i="31"/>
  <c r="I141" i="31"/>
  <c r="I142" i="31"/>
  <c r="I143" i="31"/>
  <c r="I144" i="31"/>
  <c r="I145" i="31"/>
  <c r="I146" i="31"/>
  <c r="I147" i="31"/>
  <c r="I148" i="31"/>
  <c r="I149" i="31"/>
  <c r="I150" i="31"/>
  <c r="I151" i="31"/>
  <c r="I152" i="31"/>
  <c r="I153" i="31"/>
  <c r="I154" i="31"/>
  <c r="I155" i="31"/>
  <c r="I156" i="31"/>
  <c r="I157" i="31"/>
  <c r="I158" i="31"/>
  <c r="I159" i="31"/>
  <c r="I160" i="31"/>
  <c r="I161" i="31"/>
  <c r="I162" i="31"/>
  <c r="I163" i="31"/>
  <c r="I164" i="31"/>
  <c r="I165" i="31"/>
  <c r="I166" i="31"/>
  <c r="I167" i="31"/>
  <c r="I168" i="31"/>
  <c r="I169" i="31"/>
  <c r="I170" i="31"/>
  <c r="I171" i="31"/>
  <c r="I172" i="31"/>
  <c r="I173" i="31"/>
  <c r="I174" i="31"/>
  <c r="I175" i="31"/>
  <c r="I176" i="31"/>
  <c r="I177" i="31"/>
  <c r="I178" i="31"/>
  <c r="I186" i="31"/>
  <c r="I187" i="31"/>
  <c r="I188" i="31"/>
  <c r="I189" i="31"/>
  <c r="I190" i="31"/>
  <c r="I191" i="31"/>
  <c r="I192" i="31"/>
  <c r="I193" i="31"/>
  <c r="I194" i="31"/>
  <c r="I8" i="31"/>
  <c r="H8" i="31"/>
  <c r="H9" i="31"/>
  <c r="H10" i="31"/>
  <c r="H11" i="31"/>
  <c r="H12" i="31"/>
  <c r="H13" i="31"/>
  <c r="H14" i="31"/>
  <c r="H15" i="31"/>
  <c r="H16" i="31"/>
  <c r="H17" i="31"/>
  <c r="H18" i="31"/>
  <c r="H19" i="31"/>
  <c r="H20" i="31"/>
  <c r="H21" i="31"/>
  <c r="H22" i="31"/>
  <c r="H23" i="31"/>
  <c r="H24" i="31"/>
  <c r="H25" i="31"/>
  <c r="H26" i="31"/>
  <c r="H27" i="31"/>
  <c r="H28" i="31"/>
  <c r="H29" i="31"/>
  <c r="H30" i="31"/>
  <c r="H31" i="31"/>
  <c r="H32" i="31"/>
  <c r="H33" i="31"/>
  <c r="H34" i="31"/>
  <c r="H35" i="31"/>
  <c r="H36" i="31"/>
  <c r="H37" i="31"/>
  <c r="H38" i="31"/>
  <c r="H39" i="31"/>
  <c r="H40" i="31"/>
  <c r="H41" i="31"/>
  <c r="H42" i="31"/>
  <c r="H43" i="31"/>
  <c r="H44" i="31"/>
  <c r="H45" i="31"/>
  <c r="H46" i="31"/>
  <c r="H47" i="31"/>
  <c r="H48" i="31"/>
  <c r="H49" i="31"/>
  <c r="H50" i="31"/>
  <c r="H51" i="31"/>
  <c r="H52" i="31"/>
  <c r="H53" i="31"/>
  <c r="H54" i="31"/>
  <c r="H55" i="31"/>
  <c r="H56" i="31"/>
  <c r="H57" i="31"/>
  <c r="H58" i="31"/>
  <c r="H59" i="31"/>
  <c r="H60" i="31"/>
  <c r="H61" i="31"/>
  <c r="H62" i="31"/>
  <c r="H63" i="31"/>
  <c r="H64" i="31"/>
  <c r="H65" i="31"/>
  <c r="H66" i="31"/>
  <c r="H67" i="31"/>
  <c r="H68" i="31"/>
  <c r="H69" i="31"/>
  <c r="H70" i="31"/>
  <c r="H71" i="31"/>
  <c r="H72" i="31"/>
  <c r="H73" i="31"/>
  <c r="H74" i="31"/>
  <c r="H75" i="31"/>
  <c r="H76" i="31"/>
  <c r="H77" i="31"/>
  <c r="H78" i="31"/>
  <c r="H79" i="31"/>
  <c r="H80" i="31"/>
  <c r="H81" i="31"/>
  <c r="H82" i="31"/>
  <c r="H83" i="31"/>
  <c r="H84" i="31"/>
  <c r="H85" i="31"/>
  <c r="H86" i="31"/>
  <c r="H87" i="31"/>
  <c r="H88" i="31"/>
  <c r="H89" i="31"/>
  <c r="H90" i="31"/>
  <c r="H91" i="31"/>
  <c r="H92" i="31"/>
  <c r="H93" i="31"/>
  <c r="H94" i="31"/>
  <c r="H95" i="31"/>
  <c r="H96" i="31"/>
  <c r="H97" i="31"/>
  <c r="H98" i="31"/>
  <c r="H99" i="31"/>
  <c r="H100" i="31"/>
  <c r="H101" i="31"/>
  <c r="H102" i="31"/>
  <c r="H103" i="31"/>
  <c r="H104" i="31"/>
  <c r="H105" i="31"/>
  <c r="H106" i="31"/>
  <c r="H107" i="31"/>
  <c r="H108" i="31"/>
  <c r="H109" i="31"/>
  <c r="H110" i="31"/>
  <c r="H111" i="31"/>
  <c r="H112" i="31"/>
  <c r="H113" i="31"/>
  <c r="H114" i="31"/>
  <c r="H115" i="31"/>
  <c r="H125" i="31"/>
  <c r="H126" i="31"/>
  <c r="H127" i="31"/>
  <c r="H128" i="31"/>
  <c r="H129" i="31"/>
  <c r="H130" i="31"/>
  <c r="H131" i="31"/>
  <c r="H132" i="31"/>
  <c r="H133" i="31"/>
  <c r="H134" i="31"/>
  <c r="H135" i="31"/>
  <c r="H136" i="31"/>
  <c r="H137" i="31"/>
  <c r="H138" i="31"/>
  <c r="H139" i="31"/>
  <c r="H140" i="31"/>
  <c r="H141" i="31"/>
  <c r="H142" i="31"/>
  <c r="H143" i="31"/>
  <c r="H144" i="31"/>
  <c r="H145" i="31"/>
  <c r="H146" i="31"/>
  <c r="H147" i="31"/>
  <c r="H148" i="31"/>
  <c r="H149" i="31"/>
  <c r="H150" i="31"/>
  <c r="H151" i="31"/>
  <c r="H152" i="31"/>
  <c r="H153" i="31"/>
  <c r="H154" i="31"/>
  <c r="H155" i="31"/>
  <c r="H156" i="31"/>
  <c r="H157" i="31"/>
  <c r="H158" i="31"/>
  <c r="H159" i="31"/>
  <c r="H160" i="31"/>
  <c r="H161" i="31"/>
  <c r="H162" i="31"/>
  <c r="H163" i="31"/>
  <c r="H164" i="31"/>
  <c r="H165" i="31"/>
  <c r="H166" i="31"/>
  <c r="H167" i="31"/>
  <c r="H168" i="31"/>
  <c r="H169" i="31"/>
  <c r="H170" i="31"/>
  <c r="H171" i="31"/>
  <c r="H172" i="31"/>
  <c r="H173" i="31"/>
  <c r="H174" i="31"/>
  <c r="H175" i="31"/>
  <c r="H176" i="31"/>
  <c r="H177" i="31"/>
  <c r="H178" i="31"/>
  <c r="H186" i="31"/>
  <c r="H187" i="31"/>
  <c r="H188" i="31"/>
  <c r="H189" i="31"/>
  <c r="H190" i="31"/>
  <c r="H191" i="31"/>
  <c r="H192" i="31"/>
  <c r="H193" i="31"/>
  <c r="H194" i="31"/>
  <c r="H195" i="31"/>
  <c r="H196" i="31"/>
  <c r="H197" i="31"/>
  <c r="H198" i="31"/>
  <c r="H199" i="31"/>
  <c r="H200" i="31"/>
  <c r="H201" i="31"/>
  <c r="H202" i="31"/>
  <c r="H203" i="31"/>
  <c r="H7" i="31"/>
  <c r="D28" i="21"/>
  <c r="D28" i="31" s="1"/>
  <c r="J28" i="31" s="1"/>
  <c r="G172" i="31"/>
  <c r="M172" i="31" s="1"/>
  <c r="F172" i="31"/>
  <c r="L172" i="31" s="1"/>
  <c r="E172" i="31"/>
  <c r="K172" i="31" s="1"/>
  <c r="F15" i="19"/>
  <c r="E11" i="21" s="1"/>
  <c r="E12" i="16"/>
  <c r="G11" i="16"/>
  <c r="H11" i="16" s="1"/>
  <c r="I11" i="16" s="1"/>
  <c r="A8" i="16"/>
  <c r="D80" i="21"/>
  <c r="D73" i="31" s="1"/>
  <c r="J73" i="31" s="1"/>
  <c r="D57" i="10"/>
  <c r="C20" i="13" s="1"/>
  <c r="C25" i="24" s="1"/>
  <c r="G117" i="7"/>
  <c r="F117" i="7"/>
  <c r="E15" i="13" s="1"/>
  <c r="E117" i="7"/>
  <c r="G116" i="7"/>
  <c r="F116" i="7"/>
  <c r="B12" i="24"/>
  <c r="D11" i="21"/>
  <c r="H18" i="33"/>
  <c r="H15" i="33"/>
  <c r="H9" i="33"/>
  <c r="H21" i="33"/>
  <c r="D91" i="31"/>
  <c r="O41" i="21"/>
  <c r="O145" i="21" s="1"/>
  <c r="O32" i="21"/>
  <c r="O23" i="21"/>
  <c r="O50" i="21"/>
  <c r="O154" i="21" s="1"/>
  <c r="O163" i="21" s="1"/>
  <c r="E14" i="7"/>
  <c r="D12" i="13" s="1"/>
  <c r="H34" i="12"/>
  <c r="H35" i="12"/>
  <c r="H36" i="12"/>
  <c r="G34" i="12"/>
  <c r="G35" i="12"/>
  <c r="G36" i="12"/>
  <c r="F34" i="12"/>
  <c r="F35" i="12"/>
  <c r="F36" i="12"/>
  <c r="B10" i="24"/>
  <c r="B9" i="24"/>
  <c r="B8" i="24"/>
  <c r="B6" i="24"/>
  <c r="D15" i="1"/>
  <c r="D18" i="1" s="1"/>
  <c r="D21" i="1" s="1"/>
  <c r="D24" i="1" s="1"/>
  <c r="D28" i="1" s="1"/>
  <c r="F15" i="1"/>
  <c r="F18" i="1" s="1"/>
  <c r="F21" i="1" s="1"/>
  <c r="F24" i="1" s="1"/>
  <c r="F28" i="1" s="1"/>
  <c r="B202" i="21"/>
  <c r="B197" i="21"/>
  <c r="B190" i="21"/>
  <c r="B185" i="21"/>
  <c r="B181" i="21"/>
  <c r="B176" i="21"/>
  <c r="B172" i="21"/>
  <c r="B167" i="21"/>
  <c r="B163" i="21"/>
  <c r="B158" i="21"/>
  <c r="B154" i="21"/>
  <c r="B149" i="21"/>
  <c r="B145" i="21"/>
  <c r="B140" i="21"/>
  <c r="B136" i="21"/>
  <c r="B131" i="21"/>
  <c r="B120" i="21"/>
  <c r="B115" i="21"/>
  <c r="B111" i="21"/>
  <c r="B106" i="21"/>
  <c r="B102" i="21"/>
  <c r="B97" i="21"/>
  <c r="B93" i="21"/>
  <c r="B88" i="21"/>
  <c r="B84" i="21"/>
  <c r="B79" i="21"/>
  <c r="B68" i="21"/>
  <c r="B63" i="21"/>
  <c r="B59" i="21"/>
  <c r="B54" i="21"/>
  <c r="B50" i="21"/>
  <c r="B45" i="21"/>
  <c r="B41" i="21"/>
  <c r="B36" i="21"/>
  <c r="B32" i="21"/>
  <c r="B27" i="21"/>
  <c r="B23" i="21"/>
  <c r="B18" i="21"/>
  <c r="F15" i="7"/>
  <c r="E13" i="13" s="1"/>
  <c r="G15" i="7"/>
  <c r="F13" i="13" s="1"/>
  <c r="E15" i="7"/>
  <c r="D13" i="13" s="1"/>
  <c r="E12" i="13"/>
  <c r="F12" i="13"/>
  <c r="F7" i="31"/>
  <c r="G7" i="31" s="1"/>
  <c r="D49" i="10"/>
  <c r="C21" i="13" s="1"/>
  <c r="C10" i="24" s="1"/>
  <c r="F16" i="24"/>
  <c r="D16" i="24"/>
  <c r="C16" i="24"/>
  <c r="O84" i="21"/>
  <c r="O59" i="21"/>
  <c r="O172" i="21" s="1"/>
  <c r="B26" i="24"/>
  <c r="O102" i="21"/>
  <c r="O93" i="21"/>
  <c r="O181" i="21"/>
  <c r="O190" i="21" s="1"/>
  <c r="G37" i="21"/>
  <c r="G37" i="31" s="1"/>
  <c r="M37" i="31" s="1"/>
  <c r="F37" i="21"/>
  <c r="F37" i="31" s="1"/>
  <c r="L37" i="31" s="1"/>
  <c r="E37" i="21"/>
  <c r="E37" i="31" s="1"/>
  <c r="K37" i="31" s="1"/>
  <c r="D37" i="31"/>
  <c r="J37" i="31" s="1"/>
  <c r="H30" i="19"/>
  <c r="G47" i="21" s="1"/>
  <c r="G47" i="31" s="1"/>
  <c r="M47" i="31" s="1"/>
  <c r="G30" i="19"/>
  <c r="F47" i="21" s="1"/>
  <c r="F47" i="31" s="1"/>
  <c r="L47" i="31" s="1"/>
  <c r="F30" i="19"/>
  <c r="E47" i="21" s="1"/>
  <c r="E47" i="31" s="1"/>
  <c r="K47" i="31" s="1"/>
  <c r="E30" i="19"/>
  <c r="D47" i="21" s="1"/>
  <c r="D47" i="31" s="1"/>
  <c r="J47" i="31" s="1"/>
  <c r="H27" i="19"/>
  <c r="G38" i="21" s="1"/>
  <c r="G38" i="31" s="1"/>
  <c r="M38" i="31" s="1"/>
  <c r="G27" i="19"/>
  <c r="F38" i="21" s="1"/>
  <c r="F38" i="31" s="1"/>
  <c r="L38" i="31" s="1"/>
  <c r="F27" i="19"/>
  <c r="E38" i="21" s="1"/>
  <c r="E38" i="31" s="1"/>
  <c r="K38" i="31" s="1"/>
  <c r="E27" i="19"/>
  <c r="D38" i="21" s="1"/>
  <c r="D38" i="31" s="1"/>
  <c r="J38" i="31" s="1"/>
  <c r="H7" i="12"/>
  <c r="G9" i="12"/>
  <c r="G42" i="12"/>
  <c r="I42" i="12" s="1"/>
  <c r="K42" i="12" s="1"/>
  <c r="E11" i="7"/>
  <c r="G55" i="21"/>
  <c r="G55" i="31" s="1"/>
  <c r="M55" i="31" s="1"/>
  <c r="F55" i="21"/>
  <c r="F55" i="31" s="1"/>
  <c r="L55" i="31" s="1"/>
  <c r="E55" i="21"/>
  <c r="D55" i="21"/>
  <c r="D55" i="31" s="1"/>
  <c r="J55" i="31" s="1"/>
  <c r="G100" i="21"/>
  <c r="G93" i="31" s="1"/>
  <c r="F100" i="21"/>
  <c r="F93" i="31" s="1"/>
  <c r="E100" i="21"/>
  <c r="E93" i="31" s="1"/>
  <c r="G46" i="21"/>
  <c r="F46" i="21"/>
  <c r="F46" i="31" s="1"/>
  <c r="L46" i="31" s="1"/>
  <c r="E46" i="21"/>
  <c r="D46" i="21"/>
  <c r="D46" i="31" s="1"/>
  <c r="J46" i="31" s="1"/>
  <c r="B25" i="24"/>
  <c r="B24" i="24"/>
  <c r="B19" i="24"/>
  <c r="D3" i="24"/>
  <c r="E69" i="19"/>
  <c r="D169" i="21" s="1"/>
  <c r="D164" i="31" s="1"/>
  <c r="J164" i="31" s="1"/>
  <c r="E98" i="21"/>
  <c r="G42" i="10"/>
  <c r="F19" i="13" s="1"/>
  <c r="F24" i="24" s="1"/>
  <c r="E63" i="10"/>
  <c r="D22" i="13" s="1"/>
  <c r="D26" i="24" s="1"/>
  <c r="D116" i="21"/>
  <c r="G11" i="15"/>
  <c r="H11" i="15" s="1"/>
  <c r="I11" i="15" s="1"/>
  <c r="E10" i="7"/>
  <c r="F10" i="7" s="1"/>
  <c r="G10" i="7" s="1"/>
  <c r="F11" i="19"/>
  <c r="G11" i="19" s="1"/>
  <c r="H11" i="19" s="1"/>
  <c r="H72" i="19"/>
  <c r="G178" i="21" s="1"/>
  <c r="G173" i="31" s="1"/>
  <c r="G72" i="19"/>
  <c r="F178" i="21" s="1"/>
  <c r="F173" i="31" s="1"/>
  <c r="F72" i="19"/>
  <c r="E178" i="21" s="1"/>
  <c r="E173" i="31" s="1"/>
  <c r="E72" i="19"/>
  <c r="D178" i="21" s="1"/>
  <c r="D173" i="31" s="1"/>
  <c r="H69" i="19"/>
  <c r="G169" i="21" s="1"/>
  <c r="G164" i="31" s="1"/>
  <c r="M164" i="31" s="1"/>
  <c r="G69" i="19"/>
  <c r="F169" i="21" s="1"/>
  <c r="F164" i="31" s="1"/>
  <c r="L164" i="31" s="1"/>
  <c r="F69" i="19"/>
  <c r="E169" i="21" s="1"/>
  <c r="E164" i="31" s="1"/>
  <c r="K164" i="31" s="1"/>
  <c r="H66" i="19"/>
  <c r="G160" i="21" s="1"/>
  <c r="G155" i="31" s="1"/>
  <c r="M155" i="31" s="1"/>
  <c r="G66" i="19"/>
  <c r="F160" i="21" s="1"/>
  <c r="F155" i="31" s="1"/>
  <c r="L155" i="31" s="1"/>
  <c r="F66" i="19"/>
  <c r="E160" i="21" s="1"/>
  <c r="E155" i="31" s="1"/>
  <c r="K155" i="31" s="1"/>
  <c r="E66" i="19"/>
  <c r="D160" i="21" s="1"/>
  <c r="D155" i="31" s="1"/>
  <c r="J155" i="31" s="1"/>
  <c r="H63" i="19"/>
  <c r="G151" i="21" s="1"/>
  <c r="G146" i="31" s="1"/>
  <c r="M146" i="31" s="1"/>
  <c r="G63" i="19"/>
  <c r="F151" i="21" s="1"/>
  <c r="F146" i="31" s="1"/>
  <c r="L146" i="31" s="1"/>
  <c r="F63" i="19"/>
  <c r="E151" i="21" s="1"/>
  <c r="E146" i="31" s="1"/>
  <c r="K146" i="31" s="1"/>
  <c r="E63" i="19"/>
  <c r="D151" i="21" s="1"/>
  <c r="D146" i="31" s="1"/>
  <c r="J146" i="31" s="1"/>
  <c r="H60" i="19"/>
  <c r="G142" i="21" s="1"/>
  <c r="G137" i="31" s="1"/>
  <c r="M137" i="31" s="1"/>
  <c r="G60" i="19"/>
  <c r="F142" i="21" s="1"/>
  <c r="F137" i="31" s="1"/>
  <c r="L137" i="31" s="1"/>
  <c r="F60" i="19"/>
  <c r="E142" i="21" s="1"/>
  <c r="E137" i="31" s="1"/>
  <c r="K137" i="31" s="1"/>
  <c r="H57" i="19"/>
  <c r="G133" i="21" s="1"/>
  <c r="G128" i="31" s="1"/>
  <c r="M128" i="31" s="1"/>
  <c r="G57" i="19"/>
  <c r="F133" i="21" s="1"/>
  <c r="F128" i="31" s="1"/>
  <c r="L128" i="31" s="1"/>
  <c r="F57" i="19"/>
  <c r="E133" i="21" s="1"/>
  <c r="E128" i="31" s="1"/>
  <c r="K128" i="31" s="1"/>
  <c r="E57" i="19"/>
  <c r="D133" i="21" s="1"/>
  <c r="D128" i="31" s="1"/>
  <c r="J128" i="31" s="1"/>
  <c r="H51" i="19"/>
  <c r="G117" i="21" s="1"/>
  <c r="G110" i="31" s="1"/>
  <c r="M110" i="31" s="1"/>
  <c r="G51" i="19"/>
  <c r="F117" i="21" s="1"/>
  <c r="F110" i="31" s="1"/>
  <c r="L110" i="31" s="1"/>
  <c r="F51" i="19"/>
  <c r="E117" i="21" s="1"/>
  <c r="E110" i="31" s="1"/>
  <c r="K110" i="31" s="1"/>
  <c r="E51" i="19"/>
  <c r="D117" i="21" s="1"/>
  <c r="D110" i="31" s="1"/>
  <c r="J110" i="31" s="1"/>
  <c r="H48" i="19"/>
  <c r="G108" i="21" s="1"/>
  <c r="G101" i="31" s="1"/>
  <c r="M101" i="31" s="1"/>
  <c r="G48" i="19"/>
  <c r="F108" i="21" s="1"/>
  <c r="F101" i="31" s="1"/>
  <c r="L101" i="31" s="1"/>
  <c r="F48" i="19"/>
  <c r="E108" i="21" s="1"/>
  <c r="E101" i="31" s="1"/>
  <c r="K101" i="31" s="1"/>
  <c r="E48" i="19"/>
  <c r="D108" i="21" s="1"/>
  <c r="D101" i="31" s="1"/>
  <c r="J101" i="31" s="1"/>
  <c r="H45" i="19"/>
  <c r="G90" i="21" s="1"/>
  <c r="G83" i="31" s="1"/>
  <c r="M83" i="31" s="1"/>
  <c r="G45" i="19"/>
  <c r="F90" i="21" s="1"/>
  <c r="F83" i="31" s="1"/>
  <c r="L83" i="31" s="1"/>
  <c r="F45" i="19"/>
  <c r="E90" i="21" s="1"/>
  <c r="E83" i="31" s="1"/>
  <c r="K83" i="31" s="1"/>
  <c r="E45" i="19"/>
  <c r="D90" i="21" s="1"/>
  <c r="D83" i="31" s="1"/>
  <c r="J83" i="31" s="1"/>
  <c r="H42" i="19"/>
  <c r="G99" i="21" s="1"/>
  <c r="G92" i="31" s="1"/>
  <c r="G42" i="19"/>
  <c r="F99" i="21" s="1"/>
  <c r="F92" i="31" s="1"/>
  <c r="F42" i="19"/>
  <c r="E99" i="21" s="1"/>
  <c r="E92" i="31" s="1"/>
  <c r="E42" i="19"/>
  <c r="H39" i="19"/>
  <c r="G81" i="21" s="1"/>
  <c r="G74" i="31" s="1"/>
  <c r="M74" i="31" s="1"/>
  <c r="G39" i="19"/>
  <c r="F81" i="21" s="1"/>
  <c r="F74" i="31" s="1"/>
  <c r="L74" i="31" s="1"/>
  <c r="F39" i="19"/>
  <c r="E81" i="21" s="1"/>
  <c r="E74" i="31" s="1"/>
  <c r="K74" i="31" s="1"/>
  <c r="E39" i="19"/>
  <c r="D81" i="21" s="1"/>
  <c r="D74" i="31" s="1"/>
  <c r="J74" i="31" s="1"/>
  <c r="H36" i="19"/>
  <c r="G36" i="19"/>
  <c r="F36" i="19"/>
  <c r="E36" i="19"/>
  <c r="G127" i="31"/>
  <c r="M127" i="31" s="1"/>
  <c r="E127" i="31"/>
  <c r="K127" i="31" s="1"/>
  <c r="G116" i="21"/>
  <c r="G109" i="31" s="1"/>
  <c r="M109" i="31" s="1"/>
  <c r="F116" i="21"/>
  <c r="E116" i="21"/>
  <c r="G98" i="21"/>
  <c r="F98" i="21"/>
  <c r="F91" i="31" s="1"/>
  <c r="G80" i="21"/>
  <c r="G73" i="31" s="1"/>
  <c r="M73" i="31" s="1"/>
  <c r="F80" i="21"/>
  <c r="F73" i="31" s="1"/>
  <c r="L73" i="31" s="1"/>
  <c r="E80" i="21"/>
  <c r="G64" i="21"/>
  <c r="F64" i="21"/>
  <c r="E64" i="21"/>
  <c r="E64" i="31" s="1"/>
  <c r="K64" i="31" s="1"/>
  <c r="D64" i="21"/>
  <c r="D64" i="31" s="1"/>
  <c r="J64" i="31" s="1"/>
  <c r="E7" i="21"/>
  <c r="F7" i="21" s="1"/>
  <c r="G7" i="21" s="1"/>
  <c r="H33" i="19"/>
  <c r="G65" i="21" s="1"/>
  <c r="G65" i="31" s="1"/>
  <c r="M65" i="31" s="1"/>
  <c r="G33" i="19"/>
  <c r="F65" i="21" s="1"/>
  <c r="F65" i="31" s="1"/>
  <c r="L65" i="31" s="1"/>
  <c r="F33" i="19"/>
  <c r="E65" i="21" s="1"/>
  <c r="E65" i="31" s="1"/>
  <c r="K65" i="31" s="1"/>
  <c r="E33" i="19"/>
  <c r="D65" i="21" s="1"/>
  <c r="H24" i="19"/>
  <c r="G56" i="21" s="1"/>
  <c r="G56" i="31" s="1"/>
  <c r="M56" i="31" s="1"/>
  <c r="G24" i="19"/>
  <c r="F56" i="21" s="1"/>
  <c r="F56" i="31" s="1"/>
  <c r="L56" i="31" s="1"/>
  <c r="F24" i="19"/>
  <c r="E56" i="21" s="1"/>
  <c r="E56" i="31" s="1"/>
  <c r="K56" i="31" s="1"/>
  <c r="E24" i="19"/>
  <c r="D56" i="21" s="1"/>
  <c r="D56" i="31" s="1"/>
  <c r="J56" i="31" s="1"/>
  <c r="H21" i="19"/>
  <c r="G29" i="21" s="1"/>
  <c r="G29" i="31" s="1"/>
  <c r="M29" i="31" s="1"/>
  <c r="G21" i="19"/>
  <c r="F29" i="21" s="1"/>
  <c r="F29" i="31" s="1"/>
  <c r="L29" i="31" s="1"/>
  <c r="F21" i="19"/>
  <c r="E29" i="21" s="1"/>
  <c r="E29" i="31" s="1"/>
  <c r="K29" i="31" s="1"/>
  <c r="E21" i="19"/>
  <c r="D29" i="21" s="1"/>
  <c r="D29" i="31" s="1"/>
  <c r="J29" i="31" s="1"/>
  <c r="G18" i="19"/>
  <c r="F20" i="21" s="1"/>
  <c r="F20" i="31" s="1"/>
  <c r="L20" i="31" s="1"/>
  <c r="F18" i="19"/>
  <c r="E20" i="21" s="1"/>
  <c r="H15" i="19"/>
  <c r="G11" i="21" s="1"/>
  <c r="G15" i="19"/>
  <c r="G19" i="21"/>
  <c r="G19" i="31" s="1"/>
  <c r="M19" i="31" s="1"/>
  <c r="E19" i="21"/>
  <c r="E19" i="31" s="1"/>
  <c r="K19" i="31" s="1"/>
  <c r="F19" i="21"/>
  <c r="F19" i="31" s="1"/>
  <c r="L19" i="31" s="1"/>
  <c r="E28" i="21"/>
  <c r="G10" i="21"/>
  <c r="F10" i="21"/>
  <c r="E10" i="21"/>
  <c r="G28" i="21"/>
  <c r="G28" i="31" s="1"/>
  <c r="M28" i="31" s="1"/>
  <c r="F28" i="21"/>
  <c r="F28" i="31" s="1"/>
  <c r="L28" i="31" s="1"/>
  <c r="D19" i="21"/>
  <c r="E39" i="12"/>
  <c r="C7" i="13" s="1"/>
  <c r="C19" i="24" s="1"/>
  <c r="A8" i="19"/>
  <c r="E4" i="13"/>
  <c r="F4" i="13" s="1"/>
  <c r="F5" i="12"/>
  <c r="G5" i="12" s="1"/>
  <c r="H5" i="12" s="1"/>
  <c r="D7" i="1"/>
  <c r="E7" i="1" s="1"/>
  <c r="F7" i="1" s="1"/>
  <c r="G11" i="7"/>
  <c r="F11" i="7"/>
  <c r="D11" i="7"/>
  <c r="G11" i="10"/>
  <c r="F11" i="10"/>
  <c r="E11" i="10"/>
  <c r="F42" i="10"/>
  <c r="E19" i="13" s="1"/>
  <c r="E24" i="24" s="1"/>
  <c r="E42" i="10"/>
  <c r="D19" i="13" s="1"/>
  <c r="D24" i="24" s="1"/>
  <c r="A7" i="7"/>
  <c r="A7" i="10"/>
  <c r="E10" i="10"/>
  <c r="F10" i="10" s="1"/>
  <c r="G10" i="10" s="1"/>
  <c r="C13" i="10"/>
  <c r="C30" i="10"/>
  <c r="C42" i="10"/>
  <c r="C49" i="10"/>
  <c r="E49" i="10"/>
  <c r="D21" i="13" s="1"/>
  <c r="D10" i="24" s="1"/>
  <c r="F49" i="10"/>
  <c r="E21" i="13" s="1"/>
  <c r="E10" i="24" s="1"/>
  <c r="G49" i="10"/>
  <c r="F21" i="13" s="1"/>
  <c r="F10" i="24" s="1"/>
  <c r="C57" i="10"/>
  <c r="E57" i="10"/>
  <c r="D20" i="13" s="1"/>
  <c r="D25" i="24" s="1"/>
  <c r="F57" i="10"/>
  <c r="E20" i="13" s="1"/>
  <c r="E25" i="24" s="1"/>
  <c r="G57" i="10"/>
  <c r="F20" i="13" s="1"/>
  <c r="F25" i="24" s="1"/>
  <c r="C63" i="10"/>
  <c r="C15" i="1"/>
  <c r="C18" i="1" s="1"/>
  <c r="C21" i="1" s="1"/>
  <c r="C24" i="1" s="1"/>
  <c r="C28" i="1" s="1"/>
  <c r="E15" i="1"/>
  <c r="E18" i="1" s="1"/>
  <c r="E21" i="1" s="1"/>
  <c r="E24" i="1" s="1"/>
  <c r="E28" i="1" s="1"/>
  <c r="G107" i="21"/>
  <c r="G100" i="31" s="1"/>
  <c r="M100" i="31" s="1"/>
  <c r="E107" i="21"/>
  <c r="E100" i="31" s="1"/>
  <c r="K100" i="31" s="1"/>
  <c r="F107" i="21"/>
  <c r="F100" i="31" s="1"/>
  <c r="L100" i="31" s="1"/>
  <c r="D107" i="21"/>
  <c r="D100" i="31" s="1"/>
  <c r="J100" i="31" s="1"/>
  <c r="G30" i="21"/>
  <c r="G30" i="31" s="1"/>
  <c r="M30" i="31" s="1"/>
  <c r="D82" i="21"/>
  <c r="G134" i="21"/>
  <c r="G129" i="31" s="1"/>
  <c r="M129" i="31" s="1"/>
  <c r="G161" i="21"/>
  <c r="G156" i="31" s="1"/>
  <c r="M156" i="31" s="1"/>
  <c r="G48" i="21"/>
  <c r="G48" i="31" s="1"/>
  <c r="M48" i="31" s="1"/>
  <c r="D30" i="21"/>
  <c r="D30" i="31" s="1"/>
  <c r="J30" i="31" s="1"/>
  <c r="E82" i="21"/>
  <c r="E75" i="31" s="1"/>
  <c r="K75" i="31" s="1"/>
  <c r="D134" i="21"/>
  <c r="D129" i="31" s="1"/>
  <c r="J129" i="31" s="1"/>
  <c r="D161" i="21"/>
  <c r="D156" i="31" s="1"/>
  <c r="J156" i="31" s="1"/>
  <c r="D39" i="21"/>
  <c r="D39" i="31" s="1"/>
  <c r="J39" i="31" s="1"/>
  <c r="G21" i="21"/>
  <c r="G21" i="31" s="1"/>
  <c r="M21" i="31" s="1"/>
  <c r="G118" i="21"/>
  <c r="G111" i="31" s="1"/>
  <c r="M111" i="31" s="1"/>
  <c r="G152" i="21"/>
  <c r="G147" i="31" s="1"/>
  <c r="M147" i="31" s="1"/>
  <c r="G179" i="21"/>
  <c r="F57" i="21"/>
  <c r="F57" i="31" s="1"/>
  <c r="L57" i="31" s="1"/>
  <c r="D21" i="21"/>
  <c r="D21" i="31" s="1"/>
  <c r="J21" i="31" s="1"/>
  <c r="D118" i="21"/>
  <c r="D111" i="31" s="1"/>
  <c r="J111" i="31" s="1"/>
  <c r="D152" i="21"/>
  <c r="D147" i="31" s="1"/>
  <c r="J147" i="31" s="1"/>
  <c r="D170" i="21"/>
  <c r="E12" i="21"/>
  <c r="E21" i="21"/>
  <c r="E21" i="31" s="1"/>
  <c r="K21" i="31" s="1"/>
  <c r="E30" i="21"/>
  <c r="E30" i="31" s="1"/>
  <c r="K30" i="31" s="1"/>
  <c r="E66" i="21"/>
  <c r="E66" i="31" s="1"/>
  <c r="K66" i="31" s="1"/>
  <c r="F82" i="21"/>
  <c r="F75" i="31" s="1"/>
  <c r="L75" i="31" s="1"/>
  <c r="D109" i="21"/>
  <c r="D102" i="31" s="1"/>
  <c r="J102" i="31" s="1"/>
  <c r="E118" i="21"/>
  <c r="E111" i="31" s="1"/>
  <c r="K111" i="31" s="1"/>
  <c r="E134" i="21"/>
  <c r="E129" i="31" s="1"/>
  <c r="K129" i="31" s="1"/>
  <c r="E152" i="21"/>
  <c r="E147" i="31" s="1"/>
  <c r="K147" i="31" s="1"/>
  <c r="E161" i="21"/>
  <c r="E156" i="31" s="1"/>
  <c r="K156" i="31" s="1"/>
  <c r="E170" i="21"/>
  <c r="E165" i="31" s="1"/>
  <c r="K165" i="31" s="1"/>
  <c r="E179" i="21"/>
  <c r="D100" i="21"/>
  <c r="D93" i="31" s="1"/>
  <c r="D57" i="21"/>
  <c r="D57" i="31" s="1"/>
  <c r="J57" i="31" s="1"/>
  <c r="D91" i="21"/>
  <c r="D84" i="31" s="1"/>
  <c r="J84" i="31" s="1"/>
  <c r="D48" i="21"/>
  <c r="D48" i="31" s="1"/>
  <c r="J48" i="31" s="1"/>
  <c r="E48" i="21"/>
  <c r="E48" i="31" s="1"/>
  <c r="K48" i="31" s="1"/>
  <c r="F39" i="21"/>
  <c r="F39" i="31" s="1"/>
  <c r="L39" i="31" s="1"/>
  <c r="G12" i="21"/>
  <c r="G66" i="21"/>
  <c r="G66" i="31" s="1"/>
  <c r="M66" i="31" s="1"/>
  <c r="F109" i="21"/>
  <c r="F102" i="31" s="1"/>
  <c r="L102" i="31" s="1"/>
  <c r="G170" i="21"/>
  <c r="G165" i="31" s="1"/>
  <c r="M165" i="31" s="1"/>
  <c r="F91" i="21"/>
  <c r="F84" i="31" s="1"/>
  <c r="L84" i="31" s="1"/>
  <c r="G39" i="21"/>
  <c r="G39" i="31" s="1"/>
  <c r="M39" i="31" s="1"/>
  <c r="D12" i="21"/>
  <c r="D66" i="21"/>
  <c r="D66" i="31" s="1"/>
  <c r="J66" i="31" s="1"/>
  <c r="G109" i="21"/>
  <c r="G102" i="31" s="1"/>
  <c r="M102" i="31" s="1"/>
  <c r="D179" i="21"/>
  <c r="G57" i="21"/>
  <c r="G57" i="31" s="1"/>
  <c r="M57" i="31" s="1"/>
  <c r="G91" i="21"/>
  <c r="G84" i="31" s="1"/>
  <c r="M84" i="31" s="1"/>
  <c r="F12" i="21"/>
  <c r="F21" i="21"/>
  <c r="F21" i="31" s="1"/>
  <c r="L21" i="31" s="1"/>
  <c r="F30" i="21"/>
  <c r="F30" i="31" s="1"/>
  <c r="L30" i="31" s="1"/>
  <c r="F66" i="21"/>
  <c r="F66" i="31" s="1"/>
  <c r="L66" i="31" s="1"/>
  <c r="G82" i="21"/>
  <c r="G75" i="31" s="1"/>
  <c r="M75" i="31" s="1"/>
  <c r="E109" i="21"/>
  <c r="E102" i="31" s="1"/>
  <c r="K102" i="31" s="1"/>
  <c r="F118" i="21"/>
  <c r="F111" i="31" s="1"/>
  <c r="L111" i="31" s="1"/>
  <c r="F134" i="21"/>
  <c r="F129" i="31" s="1"/>
  <c r="L129" i="31" s="1"/>
  <c r="F152" i="21"/>
  <c r="F147" i="31" s="1"/>
  <c r="L147" i="31" s="1"/>
  <c r="F161" i="21"/>
  <c r="F170" i="21"/>
  <c r="F165" i="31" s="1"/>
  <c r="L165" i="31" s="1"/>
  <c r="F179" i="21"/>
  <c r="F174" i="31" s="1"/>
  <c r="E57" i="21"/>
  <c r="E57" i="31" s="1"/>
  <c r="K57" i="31" s="1"/>
  <c r="E91" i="21"/>
  <c r="E84" i="31" s="1"/>
  <c r="K84" i="31" s="1"/>
  <c r="F48" i="21"/>
  <c r="F48" i="31" s="1"/>
  <c r="L48" i="31" s="1"/>
  <c r="E39" i="21"/>
  <c r="E39" i="31" s="1"/>
  <c r="K39" i="31" s="1"/>
  <c r="F28" i="12"/>
  <c r="F29" i="12"/>
  <c r="F30" i="12"/>
  <c r="F31" i="12"/>
  <c r="F32" i="12"/>
  <c r="G28" i="12"/>
  <c r="G29" i="12"/>
  <c r="G30" i="12"/>
  <c r="G31" i="12"/>
  <c r="G32" i="12"/>
  <c r="G33" i="12"/>
  <c r="F33" i="12"/>
  <c r="H28" i="12"/>
  <c r="H29" i="12"/>
  <c r="H30" i="12"/>
  <c r="H31" i="12"/>
  <c r="H32" i="12"/>
  <c r="H33" i="12"/>
  <c r="C5" i="13"/>
  <c r="D5" i="13"/>
  <c r="F5" i="13"/>
  <c r="E5" i="13"/>
  <c r="E59" i="24" l="1"/>
  <c r="E18" i="24" s="1"/>
  <c r="D59" i="24"/>
  <c r="D18" i="24" s="1"/>
  <c r="F59" i="24"/>
  <c r="F18" i="24" s="1"/>
  <c r="H8" i="12"/>
  <c r="K8" i="12" s="1"/>
  <c r="K7" i="12"/>
  <c r="G15" i="10" s="1"/>
  <c r="D65" i="31"/>
  <c r="J65" i="31" s="1"/>
  <c r="D68" i="21"/>
  <c r="J65" i="21" s="1"/>
  <c r="G190" i="31"/>
  <c r="F190" i="31"/>
  <c r="D190" i="31"/>
  <c r="E190" i="31"/>
  <c r="D200" i="21"/>
  <c r="E12" i="31"/>
  <c r="K12" i="31" s="1"/>
  <c r="E200" i="21"/>
  <c r="F12" i="31"/>
  <c r="L12" i="31" s="1"/>
  <c r="F200" i="21"/>
  <c r="G200" i="21"/>
  <c r="L174" i="31"/>
  <c r="M175" i="31"/>
  <c r="K175" i="31"/>
  <c r="L175" i="31"/>
  <c r="J175" i="31"/>
  <c r="M173" i="31"/>
  <c r="K173" i="31"/>
  <c r="L173" i="31"/>
  <c r="J173" i="31"/>
  <c r="M136" i="31"/>
  <c r="D13" i="31"/>
  <c r="J13" i="31" s="1"/>
  <c r="D201" i="21"/>
  <c r="E13" i="31"/>
  <c r="K13" i="31" s="1"/>
  <c r="E201" i="21"/>
  <c r="F201" i="21"/>
  <c r="G13" i="31"/>
  <c r="M13" i="31" s="1"/>
  <c r="G201" i="21"/>
  <c r="G198" i="21"/>
  <c r="F10" i="31"/>
  <c r="L10" i="31" s="1"/>
  <c r="F198" i="21"/>
  <c r="E198" i="21"/>
  <c r="G11" i="31"/>
  <c r="M11" i="31" s="1"/>
  <c r="E11" i="31"/>
  <c r="K11" i="31" s="1"/>
  <c r="E199" i="21"/>
  <c r="D12" i="31"/>
  <c r="J12" i="31" s="1"/>
  <c r="D11" i="31"/>
  <c r="J11" i="31" s="1"/>
  <c r="O120" i="21"/>
  <c r="O111" i="21"/>
  <c r="C9" i="13"/>
  <c r="D9" i="13"/>
  <c r="F9" i="13"/>
  <c r="E9" i="13"/>
  <c r="G10" i="12"/>
  <c r="F9" i="12"/>
  <c r="B41" i="24"/>
  <c r="C41" i="24" s="1"/>
  <c r="B11" i="24"/>
  <c r="K9" i="12"/>
  <c r="C71" i="10"/>
  <c r="H12" i="16"/>
  <c r="H377" i="16" s="1"/>
  <c r="D8" i="13"/>
  <c r="E3" i="24"/>
  <c r="F154" i="31"/>
  <c r="L154" i="31" s="1"/>
  <c r="I12" i="16"/>
  <c r="I377" i="16" s="1"/>
  <c r="E154" i="31"/>
  <c r="K154" i="31" s="1"/>
  <c r="K24" i="24"/>
  <c r="L24" i="24"/>
  <c r="I24" i="24"/>
  <c r="J24" i="24"/>
  <c r="G13" i="10"/>
  <c r="F16" i="13" s="1"/>
  <c r="F6" i="24" s="1"/>
  <c r="D15" i="13"/>
  <c r="D13" i="24" s="1"/>
  <c r="D14" i="13"/>
  <c r="D12" i="24" s="1"/>
  <c r="C15" i="13"/>
  <c r="C13" i="24" s="1"/>
  <c r="K36" i="12"/>
  <c r="B21" i="1"/>
  <c r="G334" i="7"/>
  <c r="F12" i="19"/>
  <c r="G12" i="19"/>
  <c r="H12" i="19"/>
  <c r="F11" i="21"/>
  <c r="F199" i="21" s="1"/>
  <c r="E12" i="19"/>
  <c r="C51" i="24" s="1"/>
  <c r="C53" i="24" s="1"/>
  <c r="G20" i="21"/>
  <c r="G20" i="31" s="1"/>
  <c r="M20" i="31" s="1"/>
  <c r="D99" i="21"/>
  <c r="D92" i="31" s="1"/>
  <c r="C10" i="13"/>
  <c r="E10" i="13"/>
  <c r="F10" i="13"/>
  <c r="D10" i="13"/>
  <c r="C14" i="13"/>
  <c r="C12" i="24" s="1"/>
  <c r="E14" i="13"/>
  <c r="E12" i="24" s="1"/>
  <c r="F14" i="13"/>
  <c r="F12" i="24" s="1"/>
  <c r="F334" i="7"/>
  <c r="F13" i="31"/>
  <c r="L13" i="31" s="1"/>
  <c r="I36" i="12"/>
  <c r="C22" i="13"/>
  <c r="C26" i="24" s="1"/>
  <c r="J36" i="12"/>
  <c r="E323" i="7"/>
  <c r="G329" i="7"/>
  <c r="D334" i="7"/>
  <c r="D329" i="7"/>
  <c r="F323" i="7"/>
  <c r="E329" i="7"/>
  <c r="F15" i="13"/>
  <c r="F13" i="24" s="1"/>
  <c r="G323" i="7"/>
  <c r="E334" i="7"/>
  <c r="F329" i="7"/>
  <c r="G326" i="7"/>
  <c r="D326" i="7"/>
  <c r="D172" i="21"/>
  <c r="J169" i="21" s="1"/>
  <c r="E13" i="24"/>
  <c r="F326" i="7"/>
  <c r="E326" i="7"/>
  <c r="F120" i="21"/>
  <c r="L117" i="21" s="1"/>
  <c r="G41" i="31"/>
  <c r="E20" i="31"/>
  <c r="K20" i="31" s="1"/>
  <c r="G181" i="21"/>
  <c r="M178" i="21" s="1"/>
  <c r="D181" i="21"/>
  <c r="J178" i="21" s="1"/>
  <c r="E181" i="21"/>
  <c r="K178" i="21" s="1"/>
  <c r="D10" i="21"/>
  <c r="F154" i="21"/>
  <c r="L151" i="21" s="1"/>
  <c r="D190" i="21"/>
  <c r="J187" i="21" s="1"/>
  <c r="E190" i="21"/>
  <c r="K187" i="21" s="1"/>
  <c r="G14" i="21"/>
  <c r="M11" i="21" s="1"/>
  <c r="G172" i="21"/>
  <c r="M169" i="21" s="1"/>
  <c r="G102" i="21"/>
  <c r="M99" i="21" s="1"/>
  <c r="F156" i="31"/>
  <c r="L156" i="31" s="1"/>
  <c r="F190" i="21"/>
  <c r="L187" i="21" s="1"/>
  <c r="F181" i="21"/>
  <c r="L178" i="21" s="1"/>
  <c r="E59" i="21"/>
  <c r="K56" i="21" s="1"/>
  <c r="E145" i="21"/>
  <c r="K142" i="21" s="1"/>
  <c r="D145" i="21"/>
  <c r="J142" i="21" s="1"/>
  <c r="D174" i="31"/>
  <c r="G149" i="31"/>
  <c r="G154" i="21"/>
  <c r="M151" i="21" s="1"/>
  <c r="G12" i="31"/>
  <c r="M12" i="31" s="1"/>
  <c r="G163" i="21"/>
  <c r="M160" i="21" s="1"/>
  <c r="G174" i="31"/>
  <c r="G59" i="31"/>
  <c r="G68" i="21"/>
  <c r="M65" i="21" s="1"/>
  <c r="G50" i="21"/>
  <c r="M47" i="21" s="1"/>
  <c r="G145" i="21"/>
  <c r="M142" i="21" s="1"/>
  <c r="F59" i="31"/>
  <c r="F136" i="21"/>
  <c r="L133" i="21" s="1"/>
  <c r="F68" i="21"/>
  <c r="L65" i="21" s="1"/>
  <c r="F145" i="21"/>
  <c r="L142" i="21" s="1"/>
  <c r="F172" i="21"/>
  <c r="L169" i="21" s="1"/>
  <c r="F95" i="31"/>
  <c r="E149" i="31"/>
  <c r="E32" i="21"/>
  <c r="K29" i="21" s="1"/>
  <c r="E174" i="31"/>
  <c r="E50" i="21"/>
  <c r="K47" i="21" s="1"/>
  <c r="E84" i="21"/>
  <c r="K81" i="21" s="1"/>
  <c r="E102" i="21"/>
  <c r="K99" i="21" s="1"/>
  <c r="E154" i="21"/>
  <c r="K151" i="21" s="1"/>
  <c r="E14" i="21"/>
  <c r="K11" i="21" s="1"/>
  <c r="E120" i="21"/>
  <c r="K117" i="21" s="1"/>
  <c r="D75" i="31"/>
  <c r="J75" i="31" s="1"/>
  <c r="D165" i="31"/>
  <c r="D136" i="21"/>
  <c r="J133" i="21" s="1"/>
  <c r="D154" i="21"/>
  <c r="J151" i="21" s="1"/>
  <c r="D163" i="21"/>
  <c r="J160" i="21" s="1"/>
  <c r="D120" i="21"/>
  <c r="J117" i="21" s="1"/>
  <c r="D59" i="31"/>
  <c r="G41" i="21"/>
  <c r="M38" i="21" s="1"/>
  <c r="D32" i="21"/>
  <c r="J29" i="21" s="1"/>
  <c r="G154" i="31"/>
  <c r="M154" i="31" s="1"/>
  <c r="G93" i="21"/>
  <c r="M90" i="21" s="1"/>
  <c r="F93" i="21"/>
  <c r="L90" i="21" s="1"/>
  <c r="E41" i="21"/>
  <c r="K38" i="21" s="1"/>
  <c r="F163" i="31"/>
  <c r="L163" i="31" s="1"/>
  <c r="G59" i="21"/>
  <c r="M56" i="21" s="1"/>
  <c r="G140" i="31"/>
  <c r="E136" i="31"/>
  <c r="D136" i="31"/>
  <c r="F109" i="31"/>
  <c r="L109" i="31" s="1"/>
  <c r="G136" i="21"/>
  <c r="M133" i="21" s="1"/>
  <c r="E136" i="21"/>
  <c r="K133" i="21" s="1"/>
  <c r="G64" i="31"/>
  <c r="G84" i="21"/>
  <c r="M81" i="21" s="1"/>
  <c r="F59" i="21"/>
  <c r="L56" i="21" s="1"/>
  <c r="F41" i="21"/>
  <c r="L38" i="21" s="1"/>
  <c r="E41" i="31"/>
  <c r="E93" i="21"/>
  <c r="K90" i="21" s="1"/>
  <c r="E109" i="31"/>
  <c r="K109" i="31" s="1"/>
  <c r="E28" i="31"/>
  <c r="K28" i="31" s="1"/>
  <c r="D32" i="31"/>
  <c r="D41" i="21"/>
  <c r="J38" i="21" s="1"/>
  <c r="D59" i="21"/>
  <c r="J56" i="21" s="1"/>
  <c r="D109" i="31"/>
  <c r="J109" i="31" s="1"/>
  <c r="D50" i="21"/>
  <c r="J47" i="21" s="1"/>
  <c r="D84" i="21"/>
  <c r="J81" i="21" s="1"/>
  <c r="E104" i="31"/>
  <c r="D41" i="31"/>
  <c r="F104" i="31"/>
  <c r="D111" i="21"/>
  <c r="J108" i="21" s="1"/>
  <c r="F111" i="21"/>
  <c r="L108" i="21" s="1"/>
  <c r="E68" i="21"/>
  <c r="K65" i="21" s="1"/>
  <c r="F84" i="21"/>
  <c r="L81" i="21" s="1"/>
  <c r="E111" i="21"/>
  <c r="K108" i="21" s="1"/>
  <c r="D93" i="21"/>
  <c r="J90" i="21" s="1"/>
  <c r="D23" i="21"/>
  <c r="J20" i="21" s="1"/>
  <c r="E73" i="31"/>
  <c r="F32" i="31"/>
  <c r="F77" i="31"/>
  <c r="D86" i="31"/>
  <c r="D104" i="31"/>
  <c r="G32" i="31"/>
  <c r="G77" i="31"/>
  <c r="E167" i="31"/>
  <c r="G131" i="31"/>
  <c r="F50" i="31"/>
  <c r="F86" i="31"/>
  <c r="F41" i="31"/>
  <c r="D149" i="31"/>
  <c r="G86" i="31"/>
  <c r="G104" i="31"/>
  <c r="F23" i="31"/>
  <c r="E68" i="31"/>
  <c r="G113" i="31"/>
  <c r="E131" i="31"/>
  <c r="D50" i="31"/>
  <c r="G111" i="21"/>
  <c r="M108" i="21" s="1"/>
  <c r="F32" i="21"/>
  <c r="L29" i="21" s="1"/>
  <c r="F176" i="31"/>
  <c r="F23" i="21"/>
  <c r="L20" i="21" s="1"/>
  <c r="F50" i="21"/>
  <c r="L47" i="21" s="1"/>
  <c r="E172" i="21"/>
  <c r="K169" i="21" s="1"/>
  <c r="G190" i="21"/>
  <c r="M187" i="21" s="1"/>
  <c r="G120" i="21"/>
  <c r="M117" i="21" s="1"/>
  <c r="E10" i="31"/>
  <c r="F64" i="31"/>
  <c r="L64" i="31" s="1"/>
  <c r="G91" i="31"/>
  <c r="G95" i="31" s="1"/>
  <c r="E46" i="31"/>
  <c r="K46" i="31" s="1"/>
  <c r="F136" i="31"/>
  <c r="E91" i="31"/>
  <c r="E95" i="31" s="1"/>
  <c r="G163" i="31"/>
  <c r="M163" i="31" s="1"/>
  <c r="F149" i="31"/>
  <c r="E86" i="31"/>
  <c r="G46" i="31"/>
  <c r="M46" i="31" s="1"/>
  <c r="D154" i="31"/>
  <c r="J154" i="31" s="1"/>
  <c r="E55" i="31"/>
  <c r="D127" i="31"/>
  <c r="J127" i="31" s="1"/>
  <c r="E23" i="21"/>
  <c r="K20" i="21" s="1"/>
  <c r="G10" i="31"/>
  <c r="F102" i="21"/>
  <c r="L99" i="21" s="1"/>
  <c r="D19" i="31"/>
  <c r="J19" i="31" s="1"/>
  <c r="F127" i="31"/>
  <c r="L127" i="31" s="1"/>
  <c r="G32" i="21"/>
  <c r="D16" i="13"/>
  <c r="F51" i="24" l="1"/>
  <c r="F17" i="24" s="1"/>
  <c r="E51" i="24"/>
  <c r="E17" i="24" s="1"/>
  <c r="D51" i="24"/>
  <c r="D17" i="24" s="1"/>
  <c r="H9" i="12"/>
  <c r="H10" i="12" s="1"/>
  <c r="D68" i="31"/>
  <c r="F193" i="31"/>
  <c r="L193" i="31" s="1"/>
  <c r="K174" i="31"/>
  <c r="E193" i="31"/>
  <c r="K193" i="31" s="1"/>
  <c r="M174" i="31"/>
  <c r="G193" i="31"/>
  <c r="M193" i="31" s="1"/>
  <c r="D167" i="31"/>
  <c r="J165" i="31"/>
  <c r="J174" i="31"/>
  <c r="D193" i="31"/>
  <c r="J193" i="31" s="1"/>
  <c r="E194" i="31"/>
  <c r="K194" i="31" s="1"/>
  <c r="F194" i="31"/>
  <c r="L194" i="31" s="1"/>
  <c r="G194" i="31"/>
  <c r="M194" i="31" s="1"/>
  <c r="D194" i="31"/>
  <c r="J194" i="31" s="1"/>
  <c r="D192" i="31"/>
  <c r="J192" i="31" s="1"/>
  <c r="G192" i="31"/>
  <c r="M192" i="31" s="1"/>
  <c r="E192" i="31"/>
  <c r="K192" i="31" s="1"/>
  <c r="G68" i="31"/>
  <c r="M64" i="31"/>
  <c r="G191" i="31"/>
  <c r="M191" i="31" s="1"/>
  <c r="L136" i="31"/>
  <c r="F191" i="31"/>
  <c r="L191" i="31" s="1"/>
  <c r="E59" i="31"/>
  <c r="K55" i="31"/>
  <c r="E77" i="31"/>
  <c r="K73" i="31"/>
  <c r="K136" i="31"/>
  <c r="E191" i="31"/>
  <c r="K191" i="31" s="1"/>
  <c r="J136" i="31"/>
  <c r="O136" i="21"/>
  <c r="O128" i="21"/>
  <c r="D10" i="31"/>
  <c r="J10" i="31" s="1"/>
  <c r="D198" i="21"/>
  <c r="D199" i="21"/>
  <c r="G199" i="21"/>
  <c r="G202" i="21" s="1"/>
  <c r="D176" i="31"/>
  <c r="B24" i="1"/>
  <c r="B28" i="1" s="1"/>
  <c r="D41" i="24"/>
  <c r="E41" i="24" s="1"/>
  <c r="F41" i="24" s="1"/>
  <c r="F11" i="13"/>
  <c r="C11" i="13"/>
  <c r="F10" i="12"/>
  <c r="F11" i="12" s="1"/>
  <c r="F12" i="12" s="1"/>
  <c r="H11" i="12"/>
  <c r="B20" i="24"/>
  <c r="G11" i="12"/>
  <c r="F8" i="13"/>
  <c r="C8" i="13"/>
  <c r="E8" i="13"/>
  <c r="I12" i="24"/>
  <c r="F3" i="24"/>
  <c r="E202" i="21"/>
  <c r="E163" i="21"/>
  <c r="K160" i="21" s="1"/>
  <c r="E158" i="31"/>
  <c r="F202" i="21"/>
  <c r="F163" i="21"/>
  <c r="L160" i="21" s="1"/>
  <c r="D11" i="13"/>
  <c r="D9" i="24" s="1"/>
  <c r="G23" i="31"/>
  <c r="F11" i="31"/>
  <c r="F192" i="31" s="1"/>
  <c r="E11" i="13"/>
  <c r="F14" i="21"/>
  <c r="L11" i="21" s="1"/>
  <c r="D102" i="21"/>
  <c r="J99" i="21" s="1"/>
  <c r="G23" i="21"/>
  <c r="M20" i="21" s="1"/>
  <c r="D95" i="31"/>
  <c r="E176" i="31"/>
  <c r="E23" i="31"/>
  <c r="D14" i="21"/>
  <c r="F158" i="31"/>
  <c r="D77" i="31"/>
  <c r="G176" i="31"/>
  <c r="G158" i="31"/>
  <c r="F113" i="31"/>
  <c r="F167" i="31"/>
  <c r="E140" i="31"/>
  <c r="D140" i="31"/>
  <c r="E32" i="31"/>
  <c r="E113" i="31"/>
  <c r="D113" i="31"/>
  <c r="D158" i="31"/>
  <c r="F68" i="31"/>
  <c r="K10" i="31"/>
  <c r="E14" i="31"/>
  <c r="F140" i="31"/>
  <c r="M29" i="21"/>
  <c r="G50" i="31"/>
  <c r="E50" i="31"/>
  <c r="F131" i="31"/>
  <c r="D23" i="31"/>
  <c r="M10" i="31"/>
  <c r="G14" i="31"/>
  <c r="G167" i="31"/>
  <c r="D131" i="31"/>
  <c r="D6" i="24"/>
  <c r="B27" i="24" l="1"/>
  <c r="D14" i="31"/>
  <c r="D195" i="31" s="1"/>
  <c r="D202" i="21"/>
  <c r="G195" i="31"/>
  <c r="E195" i="31"/>
  <c r="D191" i="31"/>
  <c r="J191" i="31" s="1"/>
  <c r="L11" i="31"/>
  <c r="D193" i="21"/>
  <c r="J195" i="21" s="1"/>
  <c r="J11" i="21"/>
  <c r="G12" i="12"/>
  <c r="G13" i="12" s="1"/>
  <c r="F9" i="24"/>
  <c r="C9" i="24"/>
  <c r="H12" i="12"/>
  <c r="F13" i="12"/>
  <c r="E9" i="24"/>
  <c r="B23" i="24"/>
  <c r="E193" i="21"/>
  <c r="K195" i="21" s="1"/>
  <c r="F193" i="21"/>
  <c r="L195" i="21" s="1"/>
  <c r="E207" i="21"/>
  <c r="E208" i="21" s="1"/>
  <c r="E200" i="31"/>
  <c r="F14" i="31"/>
  <c r="F195" i="31" s="1"/>
  <c r="L192" i="31"/>
  <c r="G193" i="21"/>
  <c r="M195" i="21" s="1"/>
  <c r="K12" i="12" l="1"/>
  <c r="D200" i="31"/>
  <c r="D201" i="31" s="1"/>
  <c r="G207" i="21"/>
  <c r="G208" i="21" s="1"/>
  <c r="D207" i="21"/>
  <c r="D208" i="21" s="1"/>
  <c r="F14" i="12"/>
  <c r="F15" i="12" s="1"/>
  <c r="H13" i="12"/>
  <c r="G14" i="12"/>
  <c r="F200" i="31"/>
  <c r="F201" i="31" s="1"/>
  <c r="F207" i="21"/>
  <c r="F208" i="21" s="1"/>
  <c r="E201" i="31"/>
  <c r="H14" i="12" l="1"/>
  <c r="K14" i="12" s="1"/>
  <c r="K13" i="12"/>
  <c r="F16" i="12"/>
  <c r="F17" i="12" s="1"/>
  <c r="F19" i="12" s="1"/>
  <c r="G15" i="12"/>
  <c r="D30" i="10"/>
  <c r="D71" i="10" s="1"/>
  <c r="E30" i="10"/>
  <c r="E71" i="10" s="1"/>
  <c r="F30" i="10"/>
  <c r="E18" i="13" s="1"/>
  <c r="G71" i="10"/>
  <c r="H15" i="12" l="1"/>
  <c r="K15" i="12" s="1"/>
  <c r="G16" i="12"/>
  <c r="G17" i="12" s="1"/>
  <c r="F20" i="12"/>
  <c r="H16" i="12"/>
  <c r="C18" i="13"/>
  <c r="C24" i="13" s="1"/>
  <c r="C26" i="13" s="1"/>
  <c r="C28" i="13" s="1"/>
  <c r="D18" i="13"/>
  <c r="F71" i="10"/>
  <c r="E8" i="24"/>
  <c r="E11" i="24" s="1"/>
  <c r="E14" i="24" s="1"/>
  <c r="F18" i="13"/>
  <c r="F21" i="12" l="1"/>
  <c r="G18" i="12"/>
  <c r="H17" i="12"/>
  <c r="C8" i="24"/>
  <c r="D8" i="24"/>
  <c r="F8" i="24"/>
  <c r="F22" i="12" l="1"/>
  <c r="F23" i="12"/>
  <c r="F24" i="12" s="1"/>
  <c r="G19" i="12"/>
  <c r="H18" i="12"/>
  <c r="C11" i="24"/>
  <c r="C14" i="24" s="1"/>
  <c r="C20" i="24" s="1"/>
  <c r="C23" i="24" s="1"/>
  <c r="C27" i="24" s="1"/>
  <c r="D11" i="24"/>
  <c r="D14" i="24" s="1"/>
  <c r="K11" i="24"/>
  <c r="F11" i="24"/>
  <c r="C31" i="24" l="1"/>
  <c r="F25" i="12"/>
  <c r="F26" i="12" s="1"/>
  <c r="F27" i="12" s="1"/>
  <c r="G20" i="12"/>
  <c r="H19" i="12"/>
  <c r="I20" i="24"/>
  <c r="I11" i="24"/>
  <c r="J11" i="24"/>
  <c r="F14" i="24"/>
  <c r="L11" i="24"/>
  <c r="F39" i="12" l="1"/>
  <c r="G21" i="12"/>
  <c r="G22" i="12" s="1"/>
  <c r="G23" i="12" s="1"/>
  <c r="G24" i="12" s="1"/>
  <c r="G25" i="12" s="1"/>
  <c r="G26" i="12" s="1"/>
  <c r="G27" i="12" s="1"/>
  <c r="H20" i="12"/>
  <c r="H21" i="12" s="1"/>
  <c r="H22" i="12" s="1"/>
  <c r="H23" i="12" s="1"/>
  <c r="H24" i="12" s="1"/>
  <c r="H25" i="12" s="1"/>
  <c r="H26" i="12" s="1"/>
  <c r="H27" i="12" s="1"/>
  <c r="I31" i="24"/>
  <c r="D7" i="13" l="1"/>
  <c r="D24" i="13" s="1"/>
  <c r="D26" i="13" s="1"/>
  <c r="D28" i="13" s="1"/>
  <c r="D19" i="24"/>
  <c r="D20" i="24" s="1"/>
  <c r="J20" i="24" s="1"/>
  <c r="H39" i="12"/>
  <c r="F19" i="24" s="1"/>
  <c r="F20" i="24" s="1"/>
  <c r="F23" i="24" s="1"/>
  <c r="F27" i="24" s="1"/>
  <c r="G39" i="12"/>
  <c r="D23" i="24" l="1"/>
  <c r="D27" i="24" s="1"/>
  <c r="F7" i="13"/>
  <c r="F24" i="13" s="1"/>
  <c r="L20" i="24"/>
  <c r="E7" i="13"/>
  <c r="E24" i="13" s="1"/>
  <c r="E26" i="13" s="1"/>
  <c r="E28" i="13" s="1"/>
  <c r="E19" i="24"/>
  <c r="E20" i="24" s="1"/>
  <c r="D31" i="24" l="1"/>
  <c r="J31" i="24" s="1"/>
  <c r="E23" i="24"/>
  <c r="E27" i="24" s="1"/>
  <c r="K20" i="24"/>
  <c r="F26" i="13"/>
  <c r="F28" i="13" s="1"/>
  <c r="E31" i="24" l="1"/>
  <c r="F31" i="24" l="1"/>
  <c r="K31" i="24"/>
  <c r="L31" i="2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Pernille Østergaard</author>
  </authors>
  <commentList>
    <comment ref="A63" authorId="0" shapeId="0" xr:uid="{14F43EA5-58A7-4B7A-A1A1-7A962C07CA0E}">
      <text>
        <r>
          <rPr>
            <b/>
            <sz val="9"/>
            <color indexed="81"/>
            <rFont val="Tahoma"/>
            <family val="2"/>
          </rPr>
          <t>Pernille Østergaard:</t>
        </r>
        <r>
          <rPr>
            <sz val="9"/>
            <color indexed="81"/>
            <rFont val="Tahoma"/>
            <family val="2"/>
          </rPr>
          <t xml:space="preserve">
Indsætte hvert år i marts og juni, når vi har den nye P/L. Løn og priser i alt = drift. Priser i alt = anlæg.
</t>
        </r>
      </text>
    </comment>
    <comment ref="A65" authorId="0" shapeId="0" xr:uid="{9902A9EC-233D-4ED5-9860-26E4FAC7D557}">
      <text>
        <r>
          <rPr>
            <b/>
            <sz val="9"/>
            <color indexed="81"/>
            <rFont val="Tahoma"/>
            <family val="2"/>
          </rPr>
          <t>Pernille Østergaard:</t>
        </r>
        <r>
          <rPr>
            <sz val="9"/>
            <color indexed="81"/>
            <rFont val="Tahoma"/>
            <family val="2"/>
          </rPr>
          <t xml:space="preserve">
Indsætte hvert år i marts og juni, når vi har den nye P/L. Løn og priser i alt = drift. Priser i alt = anlæg.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kira</author>
  </authors>
  <commentList>
    <comment ref="F10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kira:</t>
        </r>
        <r>
          <rPr>
            <sz val="8"/>
            <color indexed="81"/>
            <rFont val="Tahoma"/>
            <family val="2"/>
          </rPr>
          <t xml:space="preserve">
100: Serviceudgifter
200: Overførselsudgifter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kira</author>
  </authors>
  <commentList>
    <comment ref="E11" authorId="0" shapeId="0" xr:uid="{00000000-0006-0000-0500-000001000000}">
      <text>
        <r>
          <rPr>
            <b/>
            <sz val="8"/>
            <color indexed="81"/>
            <rFont val="Tahoma"/>
            <family val="2"/>
          </rPr>
          <t>kira:</t>
        </r>
        <r>
          <rPr>
            <sz val="8"/>
            <color indexed="81"/>
            <rFont val="Tahoma"/>
            <family val="2"/>
          </rPr>
          <t xml:space="preserve">
100: Serviceudgifter
200: Overførselsudgifter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kira</author>
  </authors>
  <commentList>
    <comment ref="D11" authorId="0" shapeId="0" xr:uid="{00000000-0006-0000-0700-000001000000}">
      <text>
        <r>
          <rPr>
            <b/>
            <sz val="8"/>
            <color indexed="81"/>
            <rFont val="Tahoma"/>
            <family val="2"/>
          </rPr>
          <t>kira:</t>
        </r>
        <r>
          <rPr>
            <sz val="8"/>
            <color indexed="81"/>
            <rFont val="Tahoma"/>
            <family val="2"/>
          </rPr>
          <t xml:space="preserve">
100: Serviceudgifter
200: Overførselsudgifter
400: Forsikrede ledige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Birgitte Rydén Jensen</author>
    <author>Pernille Jackline S Østergaard</author>
  </authors>
  <commentList>
    <comment ref="B13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 xml:space="preserve">Der er flyttet 4 mio. kr. fra drift 2026 vedr. asfalt som forudsætning. Flyttes i bof-3-2025
</t>
        </r>
      </text>
    </comment>
    <comment ref="B35" authorId="1" shapeId="0" xr:uid="{00000000-0006-0000-0D00-000002000000}">
      <text>
        <r>
          <rPr>
            <b/>
            <sz val="9"/>
            <color indexed="81"/>
            <rFont val="Tahoma"/>
            <family val="2"/>
          </rPr>
          <t>Pernille Jackline S Østergaard:</t>
        </r>
        <r>
          <rPr>
            <sz val="9"/>
            <color indexed="81"/>
            <rFont val="Tahoma"/>
            <family val="2"/>
          </rPr>
          <t xml:space="preserve">
Tjek primo saldo på hovedfunktion 9.55 for 2026 og indtast dette beløb som "x"
("x"-B24-B25) TJEKKES marts 2026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Bettina Nielsen</author>
    <author>Birgitte Ryden</author>
  </authors>
  <commentList>
    <comment ref="E42" authorId="0" shapeId="0" xr:uid="{00000000-0006-0000-0B00-000001000000}">
      <text>
        <r>
          <rPr>
            <b/>
            <sz val="9"/>
            <color indexed="81"/>
            <rFont val="Tahoma"/>
            <family val="2"/>
          </rPr>
          <t>Bettina Nielsen:</t>
        </r>
        <r>
          <rPr>
            <sz val="9"/>
            <color indexed="81"/>
            <rFont val="Tahoma"/>
            <family val="2"/>
          </rPr>
          <t xml:space="preserve">
SKAL ALTID VÆRE NUL
</t>
        </r>
      </text>
    </comment>
    <comment ref="D44" authorId="1" shapeId="0" xr:uid="{00000000-0006-0000-0B00-000002000000}">
      <text>
        <r>
          <rPr>
            <b/>
            <sz val="9"/>
            <color indexed="81"/>
            <rFont val="Tahoma"/>
            <family val="2"/>
          </rPr>
          <t>Fra hovedoversigt</t>
        </r>
      </text>
    </comment>
  </commentList>
</comments>
</file>

<file path=xl/sharedStrings.xml><?xml version="1.0" encoding="utf-8"?>
<sst xmlns="http://schemas.openxmlformats.org/spreadsheetml/2006/main" count="3540" uniqueCount="1094">
  <si>
    <t>DRIFTS OG ANLÆGSUDGIFTER:</t>
  </si>
  <si>
    <t>Skatter</t>
  </si>
  <si>
    <t>Tilskud og udligning</t>
  </si>
  <si>
    <t>Driftsudgifter</t>
  </si>
  <si>
    <t>Renter</t>
  </si>
  <si>
    <t>Resultat af ordinær drift</t>
  </si>
  <si>
    <t>Skattefinansieret område ialt</t>
  </si>
  <si>
    <t>Årets resultat ialt</t>
  </si>
  <si>
    <t>KAPITALBEVÆGELSER:</t>
  </si>
  <si>
    <t>Årets resultat</t>
  </si>
  <si>
    <t>Låneoptagelse</t>
  </si>
  <si>
    <t>Afdrag på lån</t>
  </si>
  <si>
    <t>Finansforskydninger</t>
  </si>
  <si>
    <t>Ændring af likviditet</t>
  </si>
  <si>
    <t>Kassebeholdning (ultimo)</t>
  </si>
  <si>
    <t>NØGLETAL:</t>
  </si>
  <si>
    <t>Skatteprocent</t>
  </si>
  <si>
    <t>Grundskyldspromille</t>
  </si>
  <si>
    <t>Budget</t>
  </si>
  <si>
    <t>Afdrag</t>
  </si>
  <si>
    <t>Realvækst i driftsudgifter</t>
  </si>
  <si>
    <t>Mio.kr. , netto, årets priser</t>
  </si>
  <si>
    <t>Godkendte korrektioner</t>
  </si>
  <si>
    <t>Anlægskorrektioner til budget</t>
  </si>
  <si>
    <t>Pris- og lønskøn</t>
  </si>
  <si>
    <t xml:space="preserve">korrektioner vedrørende Finansiering mm </t>
  </si>
  <si>
    <t xml:space="preserve">Låneoptagelse </t>
  </si>
  <si>
    <t>Nyt anlægsbudget</t>
  </si>
  <si>
    <t>Nye korrektioner i alt</t>
  </si>
  <si>
    <t>Tekniske korrektioner</t>
  </si>
  <si>
    <t>Pris og lønskøn i alt</t>
  </si>
  <si>
    <t>Ændring</t>
  </si>
  <si>
    <t>Resultat af virkningen af ændringsforslag</t>
  </si>
  <si>
    <t>Sum af skatter</t>
  </si>
  <si>
    <t>Sum af tilskud og udligning</t>
  </si>
  <si>
    <t>Sum af renter</t>
  </si>
  <si>
    <t>Sum af finansforskydninger</t>
  </si>
  <si>
    <t>Ny kassebeholdning</t>
  </si>
  <si>
    <t>Sum af ændringerne</t>
  </si>
  <si>
    <t>Finansieringsforslag</t>
  </si>
  <si>
    <t>Sum af prisfremskrivningen</t>
  </si>
  <si>
    <t xml:space="preserve">Sum af tekniske korrektioner på driften </t>
  </si>
  <si>
    <t xml:space="preserve">Sum af finansieringsforslag på driften </t>
  </si>
  <si>
    <t>Sum af afdrag</t>
  </si>
  <si>
    <t>Sum af lån</t>
  </si>
  <si>
    <t>Akkumuleret kassepåvirkning</t>
  </si>
  <si>
    <t>Tekniske korrektioner til budget</t>
  </si>
  <si>
    <t>OPRINDELIGT BUDGET</t>
  </si>
  <si>
    <t>GRUNDLAG FOR BUDGETFORSLAG</t>
  </si>
  <si>
    <t>TEKNISKE KORREKTIONER - KORREKTIONER MARKERET MED X I HØJRE KOLONNE INDGÅR I BUDGETFORSLAGET</t>
  </si>
  <si>
    <t>SKAT, TILSKUD OG UDLIGNING SAMT FINANSPOSTER.  DE ANFØRTE BELØB ER ÆNDRINGER TIL OPRINDELIGT BUDGET</t>
  </si>
  <si>
    <t xml:space="preserve"> Prisfremskrivningen for budgetårene. </t>
  </si>
  <si>
    <t>Akt. 12, Ejendomme</t>
  </si>
  <si>
    <t>Akt. 41, Dagtilbud børn</t>
  </si>
  <si>
    <t>Akt. 46, Folkeoplysningsudvalget</t>
  </si>
  <si>
    <t>Akt. 44, Familier</t>
  </si>
  <si>
    <t>Akt. 11, Administration</t>
  </si>
  <si>
    <t>Akt. 12, Ejendomme:</t>
  </si>
  <si>
    <t>Akt. 28, By og Miljø</t>
  </si>
  <si>
    <t>Akt.</t>
  </si>
  <si>
    <t>Service</t>
  </si>
  <si>
    <t xml:space="preserve"> - = mindreudgift/merindtægt  + = merudgift/mindreindtægt</t>
  </si>
  <si>
    <t>Akt. 46, Folkeoplysning</t>
  </si>
  <si>
    <t>Akt. 34, Ældre</t>
  </si>
  <si>
    <t>1.000 kr.</t>
  </si>
  <si>
    <t xml:space="preserve">Godkendte </t>
  </si>
  <si>
    <t>korrektioner</t>
  </si>
  <si>
    <t>Godkendte</t>
  </si>
  <si>
    <t xml:space="preserve"> + = udgift/underskud   - = indtægt/overskud</t>
  </si>
  <si>
    <t>Akt. 35 Sundhed</t>
  </si>
  <si>
    <t>Langfristet gæld - skattefinans.</t>
  </si>
  <si>
    <t>x</t>
  </si>
  <si>
    <t/>
  </si>
  <si>
    <t>Godkendt til</t>
  </si>
  <si>
    <t>1. behandling</t>
  </si>
  <si>
    <t>Kolonne1</t>
  </si>
  <si>
    <t>Kolonne2</t>
  </si>
  <si>
    <t>A</t>
  </si>
  <si>
    <t xml:space="preserve">AFLEDT DRIFT SOM FØLGE AF VEDTAGNE ANLÆGSØNSKER UDEN FOR BUDGET RAMMEN. </t>
  </si>
  <si>
    <t>Afledt drift udenfor rammen</t>
  </si>
  <si>
    <t>Afledt drift uden for rammen til budget</t>
  </si>
  <si>
    <t>Afledt drift på anlægsønsker</t>
  </si>
  <si>
    <t>Sum af aktivitetsudvidelser på driften</t>
  </si>
  <si>
    <t>Kolonne4</t>
  </si>
  <si>
    <t>Kolonne6</t>
  </si>
  <si>
    <t>Kolonne7</t>
  </si>
  <si>
    <t>Kolonne8</t>
  </si>
  <si>
    <t>Kolonne9</t>
  </si>
  <si>
    <t>Kolonne10</t>
  </si>
  <si>
    <t>Kolonne11</t>
  </si>
  <si>
    <t>Sum af afledt drift</t>
  </si>
  <si>
    <t>Akt. 13 Rengøring, bestiller</t>
  </si>
  <si>
    <t>Akt. 28. By og Miljø</t>
  </si>
  <si>
    <t>Akt. 30. Ungdommens Uddannelsesvejledning</t>
  </si>
  <si>
    <t>Akt. 34. Ældreområdet</t>
  </si>
  <si>
    <t>Akt. 35. Sundhedsområdet</t>
  </si>
  <si>
    <t>Akt. 41. Dagtilbud børn</t>
  </si>
  <si>
    <t>Akt. 44. Familier</t>
  </si>
  <si>
    <t>Akt. 46. Folkeoplysning</t>
  </si>
  <si>
    <t xml:space="preserve">Områdets </t>
  </si>
  <si>
    <t>budget</t>
  </si>
  <si>
    <t>Kolonne12</t>
  </si>
  <si>
    <t>Kolonne13</t>
  </si>
  <si>
    <t>Akt. 43, Kriminalpræventive- og boligsociale aktiviteter</t>
  </si>
  <si>
    <t xml:space="preserve">Korrigeret Budget </t>
  </si>
  <si>
    <t>Akt. 35, Sundhed,</t>
  </si>
  <si>
    <t>11. Administration</t>
  </si>
  <si>
    <t>Afledt drift</t>
  </si>
  <si>
    <t>Budgetønsker</t>
  </si>
  <si>
    <t>12. Ejendomme</t>
  </si>
  <si>
    <t xml:space="preserve">Difference </t>
  </si>
  <si>
    <t>41. Dagtilbud børn</t>
  </si>
  <si>
    <t>42. Skoler</t>
  </si>
  <si>
    <t>44. Familier</t>
  </si>
  <si>
    <t>46. Folkeoplysning</t>
  </si>
  <si>
    <t>Driftsudgifter  i alt</t>
  </si>
  <si>
    <t>Samlet for Hillerød Kommune</t>
  </si>
  <si>
    <t>Subtotal</t>
  </si>
  <si>
    <t xml:space="preserve">OPUS </t>
  </si>
  <si>
    <t>OPUS</t>
  </si>
  <si>
    <t xml:space="preserve">Budget </t>
  </si>
  <si>
    <t xml:space="preserve">Total difference </t>
  </si>
  <si>
    <t>Årets resultat skal være positiv</t>
  </si>
  <si>
    <t>Resultatet af den ordinære drift skal være minimum 100 mio. kr. pr. år.</t>
  </si>
  <si>
    <t>Kommunens langfristede gæld skal nedbringes.</t>
  </si>
  <si>
    <t xml:space="preserve">Kommunens gennemsnitslikviditet skal løbende ligge på mindst 100 mio. kr. </t>
  </si>
  <si>
    <t>Pris og lønskøn FF&amp;AU</t>
  </si>
  <si>
    <t>Aktivitetsudvidelser</t>
  </si>
  <si>
    <t>Akt. 27, Ejendomme - Grøn drift</t>
  </si>
  <si>
    <t>Faste ejendomme</t>
  </si>
  <si>
    <t>Kommunale veje</t>
  </si>
  <si>
    <t>Folkeskolen m.m.</t>
  </si>
  <si>
    <t>Dagtilbud til børn og unge</t>
  </si>
  <si>
    <t>Administrativ organisation</t>
  </si>
  <si>
    <t>Økonomiudvalget</t>
  </si>
  <si>
    <t>Akt. 23, Kirkegårde</t>
  </si>
  <si>
    <t>23. Kirkegårde</t>
  </si>
  <si>
    <t>Diff</t>
  </si>
  <si>
    <t>Drift fra forsiden:</t>
  </si>
  <si>
    <t>Akt. 13, Rengøring - Bestiller</t>
  </si>
  <si>
    <t>13. Rengøring - Bestiller</t>
  </si>
  <si>
    <t>27.Ejendomme - Grøn drift</t>
  </si>
  <si>
    <t>34. Ældre</t>
  </si>
  <si>
    <t>35. Sundhed</t>
  </si>
  <si>
    <t>43. Kriminalpræve- og bolisociale aktiviter</t>
  </si>
  <si>
    <t>PRIS-/LØN-STIGNINGER 00-06</t>
  </si>
  <si>
    <t>Kolonne132</t>
  </si>
  <si>
    <t>Ændring af likviditet ('POSITIVT TAL er lig med forbrug af likvider)
** inkl. korrektioner vedr. likviditetstræk</t>
  </si>
  <si>
    <t>kontrol af hovedoversigt</t>
  </si>
  <si>
    <t>Udvikling</t>
  </si>
  <si>
    <t>Kapacitet</t>
  </si>
  <si>
    <t>Nedslidning</t>
  </si>
  <si>
    <t>Anlægsudgifter (HK 1 - brugerfinansieret og uden for anlægsloft)</t>
  </si>
  <si>
    <t>Pris og lønskøn AØ</t>
  </si>
  <si>
    <t>Pl-regulering ifm afstemning af ramme</t>
  </si>
  <si>
    <t xml:space="preserve"> </t>
  </si>
  <si>
    <t>Anlægsudgifter (HK 0, 2-6)</t>
  </si>
  <si>
    <t>Akt. 21, Natur, Miljø og Klima</t>
  </si>
  <si>
    <t>Akt. 21. Natur, Miljø og Klima</t>
  </si>
  <si>
    <t>Akt. 23. Kirkegårde</t>
  </si>
  <si>
    <t>Akt. 27 Ejendomme - Grøn drift</t>
  </si>
  <si>
    <t>21. Natur, Miljø og Klima</t>
  </si>
  <si>
    <t>28. By og Trafik</t>
  </si>
  <si>
    <t>Børn, Familie og Ungeudvalget</t>
  </si>
  <si>
    <t>Natur, Miljø og Klimaudvalget</t>
  </si>
  <si>
    <t>Gennemsnitslikvititet</t>
  </si>
  <si>
    <t>Ligger på: G:Budget/Fælles/Likviditetsrapporter</t>
  </si>
  <si>
    <t>PRIS-/LØN-STIGNINGER 00-09</t>
  </si>
  <si>
    <t>Udgifter indenfor servicerammen (med pl - dvs i løbende priser)</t>
  </si>
  <si>
    <t>Anlægsindtægter (HK 0, 2-6)</t>
  </si>
  <si>
    <t>Brugerfinansieret område ialt</t>
  </si>
  <si>
    <t>Årets resultat, inkl. HK 1 - brugerfinansieret anlæg</t>
  </si>
  <si>
    <r>
      <t xml:space="preserve">Årets resultat, </t>
    </r>
    <r>
      <rPr>
        <sz val="14"/>
        <rFont val="Arial"/>
        <family val="2"/>
      </rPr>
      <t>ekskl. HK 1 - brugerfinansieret anlæg</t>
    </r>
  </si>
  <si>
    <t>Kolonne133</t>
  </si>
  <si>
    <t>Aktivitetsområde</t>
  </si>
  <si>
    <t>type</t>
  </si>
  <si>
    <t>AU og FF i kr.</t>
  </si>
  <si>
    <t>I</t>
  </si>
  <si>
    <t>Nye Korrektioner i alt  - netto</t>
  </si>
  <si>
    <t>Udgifter</t>
  </si>
  <si>
    <t>Indtægter</t>
  </si>
  <si>
    <t>HUSK AT OPDAGERE PIVOT-TABELLER NEDFOR</t>
  </si>
  <si>
    <t xml:space="preserve">  </t>
  </si>
  <si>
    <t>Vedtaget budget 2020 - 2023</t>
  </si>
  <si>
    <t>Langfristet gæld, dranst 9, HF 9.55</t>
  </si>
  <si>
    <t xml:space="preserve">Driftsramme </t>
  </si>
  <si>
    <t>AU og FF i pct. af serviceramme</t>
  </si>
  <si>
    <t>i pct. af oprindelig serviceramme!</t>
  </si>
  <si>
    <t>obs</t>
  </si>
  <si>
    <t>Serviceramme ompr.sag</t>
  </si>
  <si>
    <t>UDVALG</t>
  </si>
  <si>
    <t>ØU</t>
  </si>
  <si>
    <t>NMK</t>
  </si>
  <si>
    <t>BFU</t>
  </si>
  <si>
    <t>I alt Hill.Km.</t>
  </si>
  <si>
    <t>omp.ramme</t>
  </si>
  <si>
    <t>Serviceudg.</t>
  </si>
  <si>
    <t>ANLÆG DER ER MARKERET MED X  I HØJRE KOLONNE INDGÅR SOM ÆNDRING TIL UDSENDT ANLÆGSPLAN</t>
  </si>
  <si>
    <t>ANLÆG</t>
  </si>
  <si>
    <t>ANLÆG DER ER MARKERET MED X  I HØJRE KOLONNE INDGÅR I DEN VEDTAGNE ANLÆGSPLAN</t>
  </si>
  <si>
    <t>Ultimo 30/9 2020</t>
  </si>
  <si>
    <t>Fritidsfaciliteter</t>
  </si>
  <si>
    <t>Dato</t>
  </si>
  <si>
    <t>XA-0000000203</t>
  </si>
  <si>
    <t>XA-0000000208</t>
  </si>
  <si>
    <t>Ullerød Nord - Infrastruktur og byggemodning</t>
  </si>
  <si>
    <t>XA-0000000303</t>
  </si>
  <si>
    <t>XA-0000022200</t>
  </si>
  <si>
    <t>Infrastruktur i Favrholm</t>
  </si>
  <si>
    <t>XA-0000022220</t>
  </si>
  <si>
    <t>XA-0000022345</t>
  </si>
  <si>
    <t>Øget fremkommelighed på det overordnede vejnet</t>
  </si>
  <si>
    <t>XA-0000065164</t>
  </si>
  <si>
    <t>Planlægning af byudvikling i Favrholm</t>
  </si>
  <si>
    <t>XA-0000030161</t>
  </si>
  <si>
    <t>AKTIVITETSUDVIDELSER. ØNSKER DER ER MARKERET MED X I HØJRE KOLONNE INDGÅR I BUDGETFORSLAGET</t>
  </si>
  <si>
    <t>supplerende materiale</t>
  </si>
  <si>
    <t>XA-0000022202</t>
  </si>
  <si>
    <t>Favrholm, to signalkryds på Overdrevsvejen</t>
  </si>
  <si>
    <t>Kolonne134</t>
  </si>
  <si>
    <t>Kolonne135</t>
  </si>
  <si>
    <t>Kolonne136</t>
  </si>
  <si>
    <t xml:space="preserve">                             </t>
  </si>
  <si>
    <t>i 1000 kr.</t>
  </si>
  <si>
    <t>XA-0000001048</t>
  </si>
  <si>
    <t xml:space="preserve">OBS - udgangspunkt for kassen  </t>
  </si>
  <si>
    <t>FINANSIERINGSFORSLAG. FORSLAG DER ER MARKERET MED X  I HØJRE KOLONNE INDGÅR I BUDGETFORSLAGET</t>
  </si>
  <si>
    <t>Finansieringsforslag til budget</t>
  </si>
  <si>
    <t xml:space="preserve">Akt. </t>
  </si>
  <si>
    <t>Akt. 11, Administrationen</t>
  </si>
  <si>
    <t>Akt. 44 Familier</t>
  </si>
  <si>
    <t>Kolonne137</t>
  </si>
  <si>
    <r>
      <t xml:space="preserve">Servicerammen (med pl - dvs i løbende priser) </t>
    </r>
    <r>
      <rPr>
        <sz val="10"/>
        <rFont val="Arial"/>
        <family val="2"/>
      </rPr>
      <t>overslagsår beregnet</t>
    </r>
    <r>
      <rPr>
        <sz val="14"/>
        <rFont val="Arial"/>
        <family val="2"/>
      </rPr>
      <t xml:space="preserve"> </t>
    </r>
  </si>
  <si>
    <t>Øvrige balanceforskydning</t>
  </si>
  <si>
    <t>XA-0000003132</t>
  </si>
  <si>
    <t>Kunstgræsbane i Hillerød Øst</t>
  </si>
  <si>
    <t>XA-0000030166</t>
  </si>
  <si>
    <t>Frederiksborg Byskole, etape 2, klassefløjen</t>
  </si>
  <si>
    <t>SKAL ALTID VÆRE NUL</t>
  </si>
  <si>
    <t>Daginstitutioner, pulje til funktionsopgradering</t>
  </si>
  <si>
    <t>Hillerødsholmskolen, kapacitetsudvidelse</t>
  </si>
  <si>
    <t>*) fra 2024 omlægges beskatning for boligejere fra afgiftspligtige grundværdier til beskatning direkte på grundværdien for ejendomsejere. Grundskyldspromillen fastsættes ved lov.</t>
  </si>
  <si>
    <t>2027 i pct</t>
  </si>
  <si>
    <t>Grundskyldspromille *) - Produktionsjord</t>
  </si>
  <si>
    <t>Grundskyldspromille *) - Øvrige ejendomme</t>
  </si>
  <si>
    <t>Sum af 2027</t>
  </si>
  <si>
    <t>Sum af 2027 i pct</t>
  </si>
  <si>
    <t>forventet kasse ult. 2028</t>
  </si>
  <si>
    <t>Jordforsyning</t>
  </si>
  <si>
    <t>XA-0000000238</t>
  </si>
  <si>
    <t>Favrholm, byggemodning til erhverv, Favrholm alle</t>
  </si>
  <si>
    <t>XA-0000022374</t>
  </si>
  <si>
    <t>Vejbelysning, energirenovering 2024-2026</t>
  </si>
  <si>
    <t>XA-0000030170</t>
  </si>
  <si>
    <t>XA-0000030174</t>
  </si>
  <si>
    <t>XA-0000030175</t>
  </si>
  <si>
    <t>XA-0000030176</t>
  </si>
  <si>
    <t>Hillerød Vest Skolen, afd. Ålholm, kapacitetsudvidelse</t>
  </si>
  <si>
    <t>Sophienborgskolen, kapacitetsudvidelse</t>
  </si>
  <si>
    <t>Tilbud til børn og unge med særlige behov</t>
  </si>
  <si>
    <t>XA-0000052105</t>
  </si>
  <si>
    <t>Hillerød Dagbehandlingsskole, sammenlægning</t>
  </si>
  <si>
    <t>Registrering af bevaringsværdige bygninger, 1940-1980 – forarbejde til bevarende lokalplaner</t>
  </si>
  <si>
    <t>Cykelsti Peder Oxes Alle, Kjeldsvangkilen</t>
  </si>
  <si>
    <t>Refusion købsmoms</t>
  </si>
  <si>
    <t>Returvandstemperatur, tiltag for at mindske strafafgift</t>
  </si>
  <si>
    <t>Refusion af købsmoms</t>
  </si>
  <si>
    <t>Sum af refusion købsmoms</t>
  </si>
  <si>
    <t>XA-0000022213</t>
  </si>
  <si>
    <t>Favrholm, Pøleå sti til Milnersvej</t>
  </si>
  <si>
    <t>Sum af 2028</t>
  </si>
  <si>
    <t>2028 i pct</t>
  </si>
  <si>
    <t>Sum af 2028 i pct</t>
  </si>
  <si>
    <t>Ultimo 31/12 2025</t>
  </si>
  <si>
    <t>Sum af anlægsbudget 2025-2028 incl. Budgetkorrektioner</t>
  </si>
  <si>
    <t>Sum af anlægsønsker 2025-2028</t>
  </si>
  <si>
    <t>Anlægsønsker 2026 - 2029 - bruttoanlægsudgifter</t>
  </si>
  <si>
    <t>Anlægsønsker 2026 - 2029 - Bruttoanlægsindtægter</t>
  </si>
  <si>
    <t>XA-0000001061</t>
  </si>
  <si>
    <t>XA-0000001064</t>
  </si>
  <si>
    <t>Genopretning af bygninger 2028</t>
  </si>
  <si>
    <t>Vandløbsvæsen</t>
  </si>
  <si>
    <t>XA-0000022227</t>
  </si>
  <si>
    <t>XA-0000022372</t>
  </si>
  <si>
    <t xml:space="preserve">Brødeskovvej, cykelstirabat </t>
  </si>
  <si>
    <t>Grønnevang Skole, 0.-5. klasse</t>
  </si>
  <si>
    <t>XA-0000030179</t>
  </si>
  <si>
    <t>Grønnevang skole, genhusning</t>
  </si>
  <si>
    <t>XA-0000022343</t>
  </si>
  <si>
    <t>Markedspladsen, busparkering og trafikafvikling</t>
  </si>
  <si>
    <t>XA-0000030168</t>
  </si>
  <si>
    <t>Hillerødsholmskolen, afd. Gadevang, kapacitetsudvidelse</t>
  </si>
  <si>
    <t>Akt. 31, Beskæftigelsesindsats</t>
  </si>
  <si>
    <t>Akt. 31. Beskæftigelsesindsats</t>
  </si>
  <si>
    <t>Akt. 32, Specialiseret voksenområde</t>
  </si>
  <si>
    <t>Akt. 33, Forsørgelsesydelser</t>
  </si>
  <si>
    <t>Akt. 33. Forsørgelsesydelser</t>
  </si>
  <si>
    <t>Akt. 32. Specialiseret voksenområde</t>
  </si>
  <si>
    <t xml:space="preserve">Favrholm Syd, arkæologiske udgravninger </t>
  </si>
  <si>
    <t>XA-0000022219</t>
  </si>
  <si>
    <t>Cykelinfrastruktur, pulje</t>
  </si>
  <si>
    <t>Cykelinfrastruktur, Frederiksværksgade/Slotsgade</t>
  </si>
  <si>
    <t>Cykelinfrastruktur, Brødeskovvej</t>
  </si>
  <si>
    <t>XA-0000022221</t>
  </si>
  <si>
    <t>50AØ2026-082</t>
  </si>
  <si>
    <t>Tilgængelighedsindsats 2026-2029</t>
  </si>
  <si>
    <t>50AØ2026-140</t>
  </si>
  <si>
    <t>Grøn infrastruktur i Vølundsvej-Industrivænget – planer</t>
  </si>
  <si>
    <t>Busvendeplads på Guldhalevej</t>
  </si>
  <si>
    <t>Cykelstipulje</t>
  </si>
  <si>
    <t>50AØ2026-220</t>
  </si>
  <si>
    <t>50AØ2026-221</t>
  </si>
  <si>
    <t>XA-0000051430</t>
  </si>
  <si>
    <t>Børnehuset Troldehøjen, udbygning</t>
  </si>
  <si>
    <t>XA-0000003134</t>
  </si>
  <si>
    <t>Hillerød Stadion, løbelys og minibane</t>
  </si>
  <si>
    <t>Renovering af Hillerød Stadion K1</t>
  </si>
  <si>
    <t>Kolonne138</t>
  </si>
  <si>
    <t>Kolonne139</t>
  </si>
  <si>
    <t>forventet kasse ult. 2029</t>
  </si>
  <si>
    <t>Rækkemærkater</t>
  </si>
  <si>
    <t>Biodiversitetsplan</t>
  </si>
  <si>
    <t>2029 i pct</t>
  </si>
  <si>
    <t>Sum af 2029</t>
  </si>
  <si>
    <t>Sum af 2029 i pct</t>
  </si>
  <si>
    <t>Budgetaftale 2027-2030</t>
  </si>
  <si>
    <t>Kassebeholdningen vedtaget i 2026</t>
  </si>
  <si>
    <t>Vedtaget anlægsbudget, oktober 2025</t>
  </si>
  <si>
    <t>Forslag til anlægsbudget 2026-2029 - Bruttoanlægsudgifter</t>
  </si>
  <si>
    <t>Forslag til anlægsbudget 2026-2029 - Bruttoanlægsindtægter</t>
  </si>
  <si>
    <t>2027-2030 SKAL IKKE ÆNDRES EFTER BUDGTEVEDTAGELSEN</t>
  </si>
  <si>
    <t>Ultimo 31/3 2026</t>
  </si>
  <si>
    <t>Ultimo 30/6 2026</t>
  </si>
  <si>
    <t>Ultimo 30/9 2026</t>
  </si>
  <si>
    <t>Ultimo 31/12 2026</t>
  </si>
  <si>
    <t>2030 i pct</t>
  </si>
  <si>
    <t>Oprindelig budget 2027-2030</t>
  </si>
  <si>
    <t>Vedtaget budget 2027 - 2030</t>
  </si>
  <si>
    <t>18.11.2025</t>
  </si>
  <si>
    <t>Mill.kr. , netto, 2026 priser</t>
  </si>
  <si>
    <t>PL-skøn fra ved budgetgrundlag 12.11.2025</t>
  </si>
  <si>
    <t>Generationernes Kvarter, byggemodning</t>
  </si>
  <si>
    <t>Favrholm, Generationernes Kvartershus</t>
  </si>
  <si>
    <t>XA-0000001057</t>
  </si>
  <si>
    <t>Energibesparende foranstaltninger 2027</t>
  </si>
  <si>
    <t>XA-0000001068</t>
  </si>
  <si>
    <t>XA-0000003136</t>
  </si>
  <si>
    <t>Hillerød Svømmehal rep. inkl. hydraulik</t>
  </si>
  <si>
    <t>XA-0000003139</t>
  </si>
  <si>
    <t>XA-0000001302</t>
  </si>
  <si>
    <t>Trollesbro, udskiftning af tag</t>
  </si>
  <si>
    <t>XA-0000007108</t>
  </si>
  <si>
    <t>Kritiske vandløbsstrækninger, opretning 2027-2029</t>
  </si>
  <si>
    <t>XA-0000022377</t>
  </si>
  <si>
    <t>Vejafvanding, renovering af stikledninger og brønd</t>
  </si>
  <si>
    <t>XA-0000022378</t>
  </si>
  <si>
    <t>Mobilitetsplan mod trængsel</t>
  </si>
  <si>
    <t>XA-0000022379</t>
  </si>
  <si>
    <t>XA-0000022380</t>
  </si>
  <si>
    <t>Byrumsmarkører Helsingørsgade</t>
  </si>
  <si>
    <t>XA-0000051437</t>
  </si>
  <si>
    <t>XA-0000052107</t>
  </si>
  <si>
    <t>Børnehuset Buen, renovering af tag mv</t>
  </si>
  <si>
    <t>XA-0000065106</t>
  </si>
  <si>
    <t>Bevaringsværdige bygninger, før 1940</t>
  </si>
  <si>
    <t>XA-0000065402</t>
  </si>
  <si>
    <t>2026/2027</t>
  </si>
  <si>
    <t>2026/2028</t>
  </si>
  <si>
    <t>2026/2030</t>
  </si>
  <si>
    <t>2026/2029</t>
  </si>
  <si>
    <t>Serviceudgifter, Finansieringsforslag</t>
  </si>
  <si>
    <t>Serviceudgifter, Aktivitetsudvidelser og afledt drift</t>
  </si>
  <si>
    <t>Overførselsudgifter FF og AU</t>
  </si>
  <si>
    <t>Anlægsønsker afkrydset</t>
  </si>
  <si>
    <t>justering af skatteindtægter vedr. pl stigning fra 2029 til 2030 - artskonto 69080001</t>
  </si>
  <si>
    <t>26.11.2025 jbac</t>
  </si>
  <si>
    <t>BOF3 25, evt flytning af Sprogcentret fra Milnersvej, er udskudt til 2029</t>
  </si>
  <si>
    <t>BOF3 25, Der indføres diæter til Udsatterådet, finansieret af budget under Seniorrådet</t>
  </si>
  <si>
    <t>Budgetopfølgning 3-2025 Basen tilføjelse af budget i 2026 og 2027. Ses i sammenhæng med tilrettet aktivitetsudvidelsesforslag fra budget 2026</t>
  </si>
  <si>
    <t>Budgetopfølgning 3-2025 Arbejdskade Erhvervssikring</t>
  </si>
  <si>
    <t>Budgetopfølgning 3-2025 Frederiksborgcentret - delvis fremrykning af investeringer fra 2027 til 2025 jf. revideret investeringsplan</t>
  </si>
  <si>
    <t>kun drift</t>
  </si>
  <si>
    <t>nu med anlæg</t>
  </si>
  <si>
    <t xml:space="preserve">Forskellen er lig med PL effekt på anlæg  </t>
  </si>
  <si>
    <t>drift</t>
  </si>
  <si>
    <t>anlæg</t>
  </si>
  <si>
    <t xml:space="preserve">Budgetopfølgning 3-2025 </t>
  </si>
  <si>
    <t>24.11.2025 kira</t>
  </si>
  <si>
    <t>BOF 3-2025 Omsorgstandplejen - fremover kan der ikke opkræves årlig betaling</t>
  </si>
  <si>
    <t>BOF 3-2025 Omfordeling af lønmidler Familievejleder</t>
  </si>
  <si>
    <t>Budgetopfølgning 3-2025 Ældre og Sundhed</t>
  </si>
  <si>
    <t>24.11.2025 betni</t>
  </si>
  <si>
    <t>Budgetopfølgning 3-2025 akt. 34</t>
  </si>
  <si>
    <t>Budgetopfølgning 3 - 2025</t>
  </si>
  <si>
    <t>Budgetopfølgning 3-2025 Familiesektionen</t>
  </si>
  <si>
    <t>24.11.2025 peos</t>
  </si>
  <si>
    <t xml:space="preserve">Budgetopfølgning 3-2025 Trafik, Vej og Park </t>
  </si>
  <si>
    <t>24.11.2025 like</t>
  </si>
  <si>
    <t xml:space="preserve">Budgetopfølgning 3-2025 Natur, Miljø og Klima </t>
  </si>
  <si>
    <t xml:space="preserve">24.11.2025 Like </t>
  </si>
  <si>
    <t xml:space="preserve">24.11.2025 like </t>
  </si>
  <si>
    <t xml:space="preserve">Budgetopfølgning 3-2025 lønmidler </t>
  </si>
  <si>
    <t>24.11.2025 llia</t>
  </si>
  <si>
    <t>28.11.2025</t>
  </si>
  <si>
    <t>Udgift til rådhus PC'er hvert 5. år. ( 2029) budget ud i 2030</t>
  </si>
  <si>
    <t>08.12.2025 llia</t>
  </si>
  <si>
    <t>Tilpasning af valgbudget, Kommunalvalg og EU-valg budget ud i 2030, budget til Folketingsvalg ind i 2030</t>
  </si>
  <si>
    <t xml:space="preserve">Forskydning af udgifter til IT-udstyr byråd </t>
  </si>
  <si>
    <t>Afledt drift - regulering jf. udmelding 2027-2030</t>
  </si>
  <si>
    <t>cstr 8/12 2025</t>
  </si>
  <si>
    <t>NY50AØ2022-222-B</t>
  </si>
  <si>
    <t xml:space="preserve">50AØ2025-221 </t>
  </si>
  <si>
    <t>Afledt drift, Hillerødshomskolen, kapacitetsudvidelse</t>
  </si>
  <si>
    <t>Afledt drift, Grønnevang Skole, genhusning</t>
  </si>
  <si>
    <t>Afledt drift, Tilgængelighedsindsats 2026-2029</t>
  </si>
  <si>
    <t>Afledt drift, Daginstitutioner, pulje til funktionsopgradering</t>
  </si>
  <si>
    <t xml:space="preserve">Afledt drift, Hillerød Vest Skolen, afd. Ålholm, kapacitetsudvidelse </t>
  </si>
  <si>
    <t>50AØ2023-227</t>
  </si>
  <si>
    <t>Afledt drift Sophienborgskolen, pavilloner</t>
  </si>
  <si>
    <t>50AØ2023-224</t>
  </si>
  <si>
    <t>Afledt drift, Hillerødshomskolen, kapacitetsudvidelse 0,5%</t>
  </si>
  <si>
    <t>Afledt drift, Grønnevang Skole, genhusning 0,5%</t>
  </si>
  <si>
    <t>Afledt drift, Hillerød Vest Skolen, afd. Ålholm, kapacitetsudvidelse 0,5%</t>
  </si>
  <si>
    <t>Afledt drift, Hillerødsholmskolen afd. Gadevang, kapacitet</t>
  </si>
  <si>
    <t>Afledt drift, Sophienborgskolen, kapacitetsudvidelse</t>
  </si>
  <si>
    <t xml:space="preserve">Deponering vedr. Generationernes Kvartershus - ind i 2030 </t>
  </si>
  <si>
    <t>Ny institution - Generationernes kvarter (pr. 1.7.2030) lederløn</t>
  </si>
  <si>
    <t>Ny institution - Generationernes kvarter (pr. 1.7.2030) Grundnormering</t>
  </si>
  <si>
    <t>el 16.12.25</t>
  </si>
  <si>
    <t>Flyt opstart Generationerns kvarter til 1/7 2030</t>
  </si>
  <si>
    <t>16.12.2025 betni</t>
  </si>
  <si>
    <t>50AØ2024-229</t>
  </si>
  <si>
    <t>17.12.2025 kira</t>
  </si>
  <si>
    <t>Akt. 38, Erhverv og Uddannelse</t>
  </si>
  <si>
    <t>Akt. 32, Specialierseret voksenområde</t>
  </si>
  <si>
    <t>Akt. 50, Trafik og Mobilitet</t>
  </si>
  <si>
    <t>Akt 31, Beskæftigelsesindsats</t>
  </si>
  <si>
    <t>Akt 29. Affaldshåndtering Hillerød</t>
  </si>
  <si>
    <t>Akt 38, Erhverv og Uddannelse</t>
  </si>
  <si>
    <t>29. Affaldshåndtering Hillerød</t>
  </si>
  <si>
    <t>38. Erhverv og Uddannelse</t>
  </si>
  <si>
    <t>50. Trafik og Mobilitet</t>
  </si>
  <si>
    <t>31. Beskæftigelsesindsats</t>
  </si>
  <si>
    <t>32. Specialiseret voksenområde</t>
  </si>
  <si>
    <t>33. Forsørgelsesydelser</t>
  </si>
  <si>
    <t>45. Kultur, Idræt og Lokalsamfund</t>
  </si>
  <si>
    <t>22.12.2025</t>
  </si>
  <si>
    <t>05.01.2026</t>
  </si>
  <si>
    <t>Vejafvanding - renov stikled brønd</t>
  </si>
  <si>
    <t>22.12.25 Linea</t>
  </si>
  <si>
    <t xml:space="preserve">42. Skoler </t>
  </si>
  <si>
    <t>Akt. 45, Kultur, Idræt og Lokalsamfund</t>
  </si>
  <si>
    <t xml:space="preserve">Akt. 42, Skoler </t>
  </si>
  <si>
    <t xml:space="preserve">Akt 42, Skoler </t>
  </si>
  <si>
    <t>Akt. 42, Skoler</t>
  </si>
  <si>
    <t>Akt. 42. Skoler</t>
  </si>
  <si>
    <t>Akt. 45. Kultur, Idræt og Lokalsamfund</t>
  </si>
  <si>
    <t>EUU</t>
  </si>
  <si>
    <t>28. By og Miljø</t>
  </si>
  <si>
    <t>Sum af 2030</t>
  </si>
  <si>
    <t>Sum af 2030 i pct</t>
  </si>
  <si>
    <t>MTU</t>
  </si>
  <si>
    <t>KIL</t>
  </si>
  <si>
    <t>ÆSS</t>
  </si>
  <si>
    <t>PBU</t>
  </si>
  <si>
    <t>i pct. i 2027</t>
  </si>
  <si>
    <t>6/1 2026 cstr</t>
  </si>
  <si>
    <t>Ændring af kapitalmiddel fra akt 44 til akt 42 efter realign</t>
  </si>
  <si>
    <t>Sundhedsplejen lederløn var lagt på akt.omr .11, men hører til på akt.omr. 44</t>
  </si>
  <si>
    <t>20.01.2026 peos</t>
  </si>
  <si>
    <t>20.01.26 peos</t>
  </si>
  <si>
    <t>24.11.25 peos</t>
  </si>
  <si>
    <t>Afledt drift, Farvholm Stationskvarter</t>
  </si>
  <si>
    <t>11AU2021-008</t>
  </si>
  <si>
    <t>30.01.2025 like</t>
  </si>
  <si>
    <t>17.02.2026 betni</t>
  </si>
  <si>
    <t>Underskud fra 2025 fordelt på 2026 -2028- KB 25/2 2026</t>
  </si>
  <si>
    <t>Indkøbsbesparelse vedr inde- og udelegetøj fra akt. 42 skoler til akt. 11</t>
  </si>
  <si>
    <t>11.03.2026 llia</t>
  </si>
  <si>
    <t>Virkningen af nyt PL skøn fra KL. 13/3 2026</t>
  </si>
  <si>
    <t>16.03.2026 betni</t>
  </si>
  <si>
    <t>16.03.2025 betni</t>
  </si>
  <si>
    <t>18.03.2026</t>
  </si>
  <si>
    <t>Letbetaling NY11AU2024-004</t>
  </si>
  <si>
    <t>11.11.2025 cstr</t>
  </si>
  <si>
    <t>Letbetaling NY112024-004</t>
  </si>
  <si>
    <t>11.11.25 cstr</t>
  </si>
  <si>
    <t>cstr 11/11-25</t>
  </si>
  <si>
    <t>Ny institution - Generationernes kvarter flyttes til 2031</t>
  </si>
  <si>
    <t>12FF2027-001 Renovering af kommunale bygninger</t>
  </si>
  <si>
    <t>12FF2027-003  Øvrige ejendomsudgifter</t>
  </si>
  <si>
    <t>12FF2027-002 Husleje, grunde og bygninger</t>
  </si>
  <si>
    <t>11FF2027-001 Indkøbsprovenu</t>
  </si>
  <si>
    <t>11FF2027-003 Systemudgifter</t>
  </si>
  <si>
    <t>11FF2027-004 Automatisering</t>
  </si>
  <si>
    <t>11FF2027-005 Opkrævningsgebyrer</t>
  </si>
  <si>
    <t>11FF2027-006 Tjenestemandspensioner</t>
  </si>
  <si>
    <t>11FF2027-007 Justering af pulje til tiltag i forbindelse med forsikringspolitikken</t>
  </si>
  <si>
    <t>11FF2027-008 Justering af pulje til reparation af skader på biler</t>
  </si>
  <si>
    <t>11FF2027-009 Tilpasning af budget til generelt kontorhold</t>
  </si>
  <si>
    <t>relevante lønsummer</t>
  </si>
  <si>
    <t xml:space="preserve">13FF2027-002 Hovedrengøring, skoler efter sommerferien  </t>
  </si>
  <si>
    <t xml:space="preserve">13FF2027-001 Affald, følere og forskudt tid  </t>
  </si>
  <si>
    <t>Tulstrup Børnehus, renovering flyttes fra drift til anlæg, KB 25.03.2026 pkt. 29</t>
  </si>
  <si>
    <t>Cykelsti langs Brødeskovvej, tillægsbevilling finasieres via drift, KB 25.03.2026 pkt. 22</t>
  </si>
  <si>
    <t>09.04.2026 kira</t>
  </si>
  <si>
    <t>09.04.2026 betni</t>
  </si>
  <si>
    <t>Valg til seniorråd - er i 2029 - derfor pilles budget ud af 2030</t>
  </si>
  <si>
    <t>15.04.2026 llia</t>
  </si>
  <si>
    <t xml:space="preserve">Videreførsel af budget til tilkøb til OPUS kontrakt. fortsættelse af budgetprincip </t>
  </si>
  <si>
    <t xml:space="preserve">12AU2027-001 Snerydning på kunstgræsbanerne i Skævinge og Brødeskov </t>
  </si>
  <si>
    <t>13AU2027-003 Øget rengøring på skoler</t>
  </si>
  <si>
    <t>13AU2027-001 Øget rengøring i GrønnegadeCentret</t>
  </si>
  <si>
    <t>12AU2027-002 Ny kunst-klimalegeplads ved Hillerød bibliotek og Kulturaksen – drifts- og vedligeholdelsesudgifter</t>
  </si>
  <si>
    <t>11AU2027-001 Opfølgning på ILO-konvention nr. 94 i Hillerød Kommunes kontrakter</t>
  </si>
  <si>
    <t xml:space="preserve">45AU2027-001 Disc Golf banen Eghjorten – tilskud til drift </t>
  </si>
  <si>
    <t>46AU2027-001 Forøgelse af medlemstilskud til børn og unge under 25 år</t>
  </si>
  <si>
    <t>46AU2027-002 Fortsættelse af Fritidspas</t>
  </si>
  <si>
    <t>45FF2027-001 Reduktion i budget til Frederiksborgcentret</t>
  </si>
  <si>
    <t>45FF2027-004 Reducering af pulje til sommerferieaktiviteter</t>
  </si>
  <si>
    <t>43FF2027-001 Reduktion i Basen og SSP</t>
  </si>
  <si>
    <t>38FF2027-001 Bortfald af støtte til C4 bygningsdrift</t>
  </si>
  <si>
    <t>38FF2027-002 Reduktion af digitaliseringspuljen</t>
  </si>
  <si>
    <t>13AU2027-004 Åbning af haller i ferieperioder Forslag 1 udelukker Forslag 2</t>
  </si>
  <si>
    <t>13AU2027-004 Åbning af haller i ferieperioder Forslag 2 udelukker Forslag 1</t>
  </si>
  <si>
    <t>35AU2027-001 Øget aktivitet på træningsområdet</t>
  </si>
  <si>
    <t>35FF2027-001 Sparet drift ved at tre pladser på Rehabiliteringsafdelingen overtages af Region Østdanmark</t>
  </si>
  <si>
    <t>45FF2027-005 Bibliotek, Model A (udelukker Model B)</t>
  </si>
  <si>
    <t>45FF2027-005 Bibliotek, Model B (udelukker Model A)</t>
  </si>
  <si>
    <t xml:space="preserve">11AU2027-004 Strategi og handleplan for cirkularitet i kommunens bygninger </t>
  </si>
  <si>
    <t xml:space="preserve">12AU2027-003 Fejning institutioner </t>
  </si>
  <si>
    <r>
      <t>12AU2027-004 Arealer</t>
    </r>
    <r>
      <rPr>
        <sz val="11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der skal holdes byg- og salgbare</t>
    </r>
  </si>
  <si>
    <t xml:space="preserve">11AU2027-006 Øge procent fra 3% til 4% til lønsum fra anlægsprojekter </t>
  </si>
  <si>
    <t>11AU2027-007 Beredskab – krav undersøgelse af tilstanden af sikringsrum</t>
  </si>
  <si>
    <t xml:space="preserve">11AU2027-008 Byggesagsbehandling – kortere sagsbehandlingstider </t>
  </si>
  <si>
    <t>11AU2027-008 Byggesagsbehandling – kortere sagsbehandlingstider - takstindtægt</t>
  </si>
  <si>
    <t>11AU2027-009 Grøn trepart - Realisering af Hillerød Kommunes Omlægningsplan</t>
  </si>
  <si>
    <t>11AU2027-010 Resurser til lokalplanlægning</t>
  </si>
  <si>
    <t>11AU2027-011 Drikkevandsforsyning – reduktion af venteliste</t>
  </si>
  <si>
    <t>50AU2027-001 Belægninger – udvidelse af budget</t>
  </si>
  <si>
    <t>50FF2027-002 Generel besparelse på drift af veje</t>
  </si>
  <si>
    <t>50FF2027-003 Elforbrug – belysning</t>
  </si>
  <si>
    <t>21FF2027-001 Reduceret drift af grønne arealer og færre affaldsspande</t>
  </si>
  <si>
    <t xml:space="preserve">11AU2027-005 Ekstra ressource til teknik – og vedligeholdelsesteam </t>
  </si>
  <si>
    <t>45FF2027-006 Hillerød Musikskole, scenarie A  - mindreudgifter</t>
  </si>
  <si>
    <t>45FF2027-006 Hillerød Musikskole, scenarie B - merindtægter</t>
  </si>
  <si>
    <t>13FF2027-003 Batteriskift og måtter</t>
  </si>
  <si>
    <t>13FF2027-004 Sundhedscentret</t>
  </si>
  <si>
    <t>42AU2027-001 Flere fagprofessionelle i undervisningen i 2. klasse</t>
  </si>
  <si>
    <t>42AU2027-002 Implementering af vision for Hillerød Fritidsordninger (HFO) – Opnormering af budget</t>
  </si>
  <si>
    <t>42AU2027-003 Opnormering af antal PPR-medarbejdere</t>
  </si>
  <si>
    <t>42AU2027-004 PPR-vejlederteamet – ny finansiering af de tværgående ressourcepersoner</t>
  </si>
  <si>
    <t>42FF2027-001 Reduktion af rammebeløb til almenundervisning, ledelse og adm. 1.-9. klasse – Scenarie A</t>
  </si>
  <si>
    <t>42FF2027-001 Reduktion af rammebeløb til almenundervisning, ledelse og adm. 1.-9. klasse – Scenarie B</t>
  </si>
  <si>
    <t>42FF2027-001 Reduktion af rammebeløb til almenundervisning, ledelse og adm. 1.-9. klasse – Scenarie C</t>
  </si>
  <si>
    <t>42FF2027-003 Tilpasning af den økonomiske ramme for Kompetencecenter Grønnevang</t>
  </si>
  <si>
    <t>42FF2027-004 Tilpasning af den økonomiske ramme for Kompetencecenter Vest</t>
  </si>
  <si>
    <t>42FF2027-005 Rammebesparelse på takstfinansierede specialskoletilbud på 1,5 %</t>
  </si>
  <si>
    <t>42FF2027-006 Reduktion af kørselsudgifter</t>
  </si>
  <si>
    <t>38FF2027-004 Rammebesparelse på UUH svarende til 1,5 %</t>
  </si>
  <si>
    <t>38FF2027-005 Rammebesparelse på STU svarende til 1,5 %</t>
  </si>
  <si>
    <t>38AU2027-001 ”Unge i praksis” - et uddannelses- og erhvervsrettet forløb for elever i 7. klasse</t>
  </si>
  <si>
    <t>Budgetopfølgning 1-2026, NY45AU2026-005 Inddrag civilsamfund ældrelov flyttes til akt 34</t>
  </si>
  <si>
    <t>Budgetopfølgning 1-2026 mindreindtægter mellemkommunale refusioner</t>
  </si>
  <si>
    <t>34FF2027-002 Nedlæggelse af tilbuddet om at lette demente borgeres overgang til plejehjem</t>
  </si>
  <si>
    <t>41FF2027-002 Ændring af uddannelsesmæssig sammensætning</t>
  </si>
  <si>
    <t>21AU2027-001 Spildevand - ny lovgivning</t>
  </si>
  <si>
    <t>21AU2027-002 Implementering af ny spildevandsplan</t>
  </si>
  <si>
    <t>38AU2027-002 Partneraftale med Nordsjælland Håndbold</t>
  </si>
  <si>
    <t>28FF2027-001 Reduktion af drift på kommuneplan</t>
  </si>
  <si>
    <t>50AU2027-002 Trafikbestilling 2027 Del 1: 60E &amp; 375 R</t>
  </si>
  <si>
    <t>50FF2027-001 Færre trafiksikkerhedsfremmende tiltag</t>
  </si>
  <si>
    <t>50FF2027-004 Justering af budget for vejbidrag til kloak</t>
  </si>
  <si>
    <t>44AU2027-001 Balance i tandplejens økonomi og kapacitet</t>
  </si>
  <si>
    <t>44FF2027-002 Lavere udgifter til anbringelser</t>
  </si>
  <si>
    <t>44FF2027-003 Rammebesparelse i Familiehuset</t>
  </si>
  <si>
    <t>21AU2027-003 Spildevand - reduktion af sagsbehandlingstid</t>
  </si>
  <si>
    <t>11AU2027-002 Omdannelse af Hillerød Hospital</t>
  </si>
  <si>
    <t>06.05.2026</t>
  </si>
  <si>
    <t xml:space="preserve">Virkningen af korrrigeret PL skøn fra KL. - i G.1-1  </t>
  </si>
  <si>
    <t>06.05.2026 betni</t>
  </si>
  <si>
    <t xml:space="preserve">x </t>
  </si>
  <si>
    <t xml:space="preserve">34AU2027-001 Styrket vejlederindsats som svar på fremtidens rekrutteringsudfordringer - udgået </t>
  </si>
  <si>
    <t xml:space="preserve">34AU2027-001 B - Styrket vejlederindsats som svar på fremtidens rekrutteringsudfordringer </t>
  </si>
  <si>
    <t>34FF2027-001 A Plejehjem - Rammebesparelse</t>
  </si>
  <si>
    <t>OK24 Pulje opskrivning til OK26 prisniveau</t>
  </si>
  <si>
    <t>07.05.2026 llia</t>
  </si>
  <si>
    <t>26.05.2026 peos</t>
  </si>
  <si>
    <t>BOF 1-2026 PPR administration til akt.omr. 42</t>
  </si>
  <si>
    <t>Budgetopfølgning 1-2026 Merudgift et fagudvalg mere end forudsat i budgettet</t>
  </si>
  <si>
    <t>Budgetopfølgning 1-2026 Merudgift til et §17 stk 4 udvalg fra 1. marts 2026 til 31. maj 2027</t>
  </si>
  <si>
    <t>Budgetopfølgning 1-2026 Støttesagsgebyr, Skoleparken udskudt til 2027</t>
  </si>
  <si>
    <t>Budgetopfølgning 1-2026 Støttesagsgebyr, Ved Torvet udskudt til 2028</t>
  </si>
  <si>
    <t>Budgetopfølgning 1-2026 Administrationsbidrag til lønmodtagernes feriemidler</t>
  </si>
  <si>
    <t>Udmøntning af 11FF2026-008 Automatisering - gevinster fra akt. 34</t>
  </si>
  <si>
    <t>efter aftale med Kirsten rykket ned på akt. område 50 like 08.05.2026</t>
  </si>
  <si>
    <t>XA-0000000242</t>
  </si>
  <si>
    <t>Salg af Petras Hus, Hulvejen 31</t>
  </si>
  <si>
    <t>XA-0000022229</t>
  </si>
  <si>
    <t>Cykellandeveje</t>
  </si>
  <si>
    <t>XA-0000022230</t>
  </si>
  <si>
    <t>Cykelsti langs Frederiksværksgade</t>
  </si>
  <si>
    <t>XA-0000022231</t>
  </si>
  <si>
    <t>Stil til Enebakken</t>
  </si>
  <si>
    <t>XA-0000022382</t>
  </si>
  <si>
    <t>4. spor på Peder Oxes alle</t>
  </si>
  <si>
    <t xml:space="preserve">11AU2027-013 Natur på kommunale arealer </t>
  </si>
  <si>
    <t xml:space="preserve">11AU2027-012 Indførelse af social ansvarlighedsmærkning </t>
  </si>
  <si>
    <t>44FF2027-004 Implementering af den evidensbaseret metode Minding The Baby og Styrk Familierne (skal ses sammen med 44AU2027-002)</t>
  </si>
  <si>
    <t>44FF2027-001 Reduktion i udgifter til aflastning gennem en styrket rekrutteringsindsats vedrørende aflastningsfamilier</t>
  </si>
  <si>
    <t>19.05.2026 llia</t>
  </si>
  <si>
    <t>Udmøntning fra digitaliseringspuljen  akt. 38 - godkendt af DIR 12.5.2026 Test digital signaturløsning</t>
  </si>
  <si>
    <t>Udmøntning fra digitaliseringspuljen  til akt. 11 godkendt af DIR 12.5.2026 Test digital signaturløsning</t>
  </si>
  <si>
    <t>Budgetopfølgning 1-2026 Cafeladen</t>
  </si>
  <si>
    <t>21.05.2025 kira</t>
  </si>
  <si>
    <t xml:space="preserve">Budgetopfølgning 1-2026 </t>
  </si>
  <si>
    <t>11AU2027-014 Øget sortiment af hjælpemidler og åbningstid i Kvikkassen</t>
  </si>
  <si>
    <t>11AU2027-013 Natur på kommunale arealer indtægter</t>
  </si>
  <si>
    <t>22.05.2026 llia</t>
  </si>
  <si>
    <t>Budgetopfølgning 1-2026 akt. 34</t>
  </si>
  <si>
    <t>26.05.2026 betni</t>
  </si>
  <si>
    <t>Budgetopfølgning 1 - 2026</t>
  </si>
  <si>
    <t>Demografi/normtal regulering hjælpemidler</t>
  </si>
  <si>
    <t>Demografi/normtal regulering hjemmehjælp</t>
  </si>
  <si>
    <t>Demografi/normtal regulering sygepleje</t>
  </si>
  <si>
    <t>Hygiejnesygeplejersker til akt.omr. 11 fra akt.omr. 35</t>
  </si>
  <si>
    <t>Hygiejnesygeplejerske - flyttes fra akt.omr. 35 til akt.omr. 11</t>
  </si>
  <si>
    <t>BOF 1-2026 PPR administration</t>
  </si>
  <si>
    <t>cstr 26/5 2026</t>
  </si>
  <si>
    <t>27.05.2026</t>
  </si>
  <si>
    <t>Mere beredskab - risikobaseret dimensionering - ØU 20.5</t>
  </si>
  <si>
    <t>28.05.2025 like</t>
  </si>
  <si>
    <t>Regulering af Mad-budget på institutionerne</t>
  </si>
  <si>
    <t>Regulering af Mad-budget på institutionerne (indtægter)</t>
  </si>
  <si>
    <t xml:space="preserve">Demografiregulering institutioner (drift) </t>
  </si>
  <si>
    <t>Demografiregulering institutioner (forældrebetalingen)</t>
  </si>
  <si>
    <t>38FF2027-003 UDGÅR</t>
  </si>
  <si>
    <t>42FF2027-002 Besparelse som følge af at tilbyde andre skoletilbud til elever i behandlings- og specialundervisningstilbud, som ikke opnår trivsel og udvikler sig i deres specialiserede tilbud - skal ses sammen med 42AU2027-005 - EFFEKT på akt.omr. 42</t>
  </si>
  <si>
    <t>42FF2027-002 Besparelse som følge af at tilbyde andre skoletilbud til elever i behandlings- og specialundervisningstilbud, som ikke opnår trivsel og udvikler sig i deres specialiserede tilbud - skal ses sammen med 42AU2027-005 - EFFEKT på akt.omr. 44</t>
  </si>
  <si>
    <t>42AU2027-005 Investeringsforslag som følge af at tilbyde andre skoletilbud til elever i behandlings- og specialundervisningstilbud, som ikke opnår trivsel og udvikler sig i deres specialiserede tilbud - skal ses sammen med 42FF2027-002</t>
  </si>
  <si>
    <t>29.05.2026 llia</t>
  </si>
  <si>
    <t>Indkøbsbesparelse vedr udbud af ortoser og skinner  til akt. 11</t>
  </si>
  <si>
    <t>Indkøbsbesparelse vedr udbud af ortoser og skinner  fra akt. 34</t>
  </si>
  <si>
    <t>1.6.2026 el</t>
  </si>
  <si>
    <t>12AU2027-005 Vagtordning på Hillerød Bibliotekerne</t>
  </si>
  <si>
    <t>45AU2027-004 UDGÅR</t>
  </si>
  <si>
    <t xml:space="preserve">OK 26 - puljer og deltid </t>
  </si>
  <si>
    <t>Afledt drift, Skolen ved Skoven</t>
  </si>
  <si>
    <t>03.06.2026 kira</t>
  </si>
  <si>
    <t>31FF2027-001 Reduktion i lønudgifter til borgere i kommunale løntilskud</t>
  </si>
  <si>
    <t>32FF2027-001 Personalereduktioner på tilbuddene på det specialiserede voksenområde</t>
  </si>
  <si>
    <t xml:space="preserve">32FF2027-002 Rammebesparelse på den socialfaglige myndighed </t>
  </si>
  <si>
    <t>32FF2027-003 Hjemtagelse af borgere på klubtilbud til kommunens tilbud (investeringsforslag) – forudsætter vedtagelsen af 32AU2027-001 ”Videreudvikling af klubtilbuddet Oasen samt udvidelse af åbningstid”</t>
  </si>
  <si>
    <t>32FF2027-004 Udmøntning af analyse af særligt dyre enkeltsager</t>
  </si>
  <si>
    <t>32AU2027-001 Videreudvikling af klubtilbuddet Oasen samt udvidelse af åbningstid (investeringsforslag). Forudsætning for vedtagelse af 32FF2027-003 – ”Hjemtagelse af borgere på klubtilbud til kommunens tilbud”</t>
  </si>
  <si>
    <t>cstr 9/6 2026</t>
  </si>
  <si>
    <t>Nulstilling af Indtægt/udgift (KCV, KCG, A1, UUH, Stubbevang, kombinationsstillinger)</t>
  </si>
  <si>
    <t>11AU2027-015 Programledelse og ekstern finansiering til større byggeprojekter</t>
  </si>
  <si>
    <t>11AU2027-016 Midler til foreningen Jordnær, ekstern rådgiver</t>
  </si>
  <si>
    <t xml:space="preserve">34AU2027-002 Demenshandleplan </t>
  </si>
  <si>
    <t>Budgettilpasning ny OPUS aftale</t>
  </si>
  <si>
    <t>Fortsættelse af budgetprincip tilkøb til OPUS</t>
  </si>
  <si>
    <t>Ældre, Social og Sundhedsudvalget</t>
  </si>
  <si>
    <t>Trafik og Mobilitetsudvalget</t>
  </si>
  <si>
    <t>Sikkerhed og myndighedskrav</t>
  </si>
  <si>
    <t>60AØ2027-660</t>
  </si>
  <si>
    <t>Fruervadvej, udvidelse af en strækning af Fruervadvej</t>
  </si>
  <si>
    <t>60AØ2027-680</t>
  </si>
  <si>
    <t>Cykelsti på Milnersvej</t>
  </si>
  <si>
    <t>60AØ2027-681</t>
  </si>
  <si>
    <t>Søstien, brinksikring og ny stibelægning, forundersøgelse</t>
  </si>
  <si>
    <t>60AØ2027-682</t>
  </si>
  <si>
    <t>60AØ2027-683</t>
  </si>
  <si>
    <t>60AØ2027-684</t>
  </si>
  <si>
    <t>Pulje til trængselstiltag</t>
  </si>
  <si>
    <t>60AØ2027-685</t>
  </si>
  <si>
    <t>Plan og Byudviklingsudvalget</t>
  </si>
  <si>
    <t>60AØ2027-580</t>
  </si>
  <si>
    <t>60AØ2027-480</t>
  </si>
  <si>
    <t>Naturlegeplads ved Munkeengen</t>
  </si>
  <si>
    <t>60AØ2027-481</t>
  </si>
  <si>
    <t>Registrering af bevaringsværdige træer</t>
  </si>
  <si>
    <t>Kultur, Idræt og Lokalsamfundsudvalget</t>
  </si>
  <si>
    <t>60AØ2027-360</t>
  </si>
  <si>
    <t>Uvelse Idrætsforening, afd. fodbold, genanvendelse af lysbane i Uvelse</t>
  </si>
  <si>
    <t>60AØ2027-361</t>
  </si>
  <si>
    <t>Hillerød Bueskyttelaug, renovering af skydebane</t>
  </si>
  <si>
    <t>60AØ2027-363</t>
  </si>
  <si>
    <t>Renovering af kunstgræsbanen ved Frederiksborgcenteret</t>
  </si>
  <si>
    <t>60AØ2027-380</t>
  </si>
  <si>
    <t>Installation af handicaplift på Annaborg</t>
  </si>
  <si>
    <t>60AØ2027-381</t>
  </si>
  <si>
    <t>Ålholm IF Fodbold, kunstgræsbane ved Hillerød Vest Skolen, afd. Ålholm</t>
  </si>
  <si>
    <t>60AØ2027-382</t>
  </si>
  <si>
    <t xml:space="preserve"> Etablering af sportsfaciliteter i Nødebo</t>
  </si>
  <si>
    <t>60AØ2027-362</t>
  </si>
  <si>
    <t>Udgået</t>
  </si>
  <si>
    <t>Erhverv og Uddannelsesudvalget</t>
  </si>
  <si>
    <t>34AU2027-004 Hjælpemiddeldepot</t>
  </si>
  <si>
    <t>60AØ2027-160</t>
  </si>
  <si>
    <t>Vedligeholdelse af udstyr og inventar i Tandplejen</t>
  </si>
  <si>
    <t>60AØ2027-020</t>
  </si>
  <si>
    <t xml:space="preserve">Krematorie, kapacitetsudvidelse </t>
  </si>
  <si>
    <t>60AØ2027-021</t>
  </si>
  <si>
    <t>60AØ2027-022</t>
  </si>
  <si>
    <t>60AØ2027-023</t>
  </si>
  <si>
    <t>Sophienborgskolen – tilpasning af kapacitetsudvidelse</t>
  </si>
  <si>
    <t>60AØ2027-024</t>
  </si>
  <si>
    <t>Etablering af Hillerød Dagbehandlingsskole i Alsønderup - tillægsbevilling</t>
  </si>
  <si>
    <t>60AØ2027-025</t>
  </si>
  <si>
    <t xml:space="preserve">Nødebo Skole skole – tilpasning af kapacitet, etablering af parkering – tillægsbevilling </t>
  </si>
  <si>
    <t>60AØ2027-026</t>
  </si>
  <si>
    <t>Vuggestuen Margrethevej – udvidelse af overdækning</t>
  </si>
  <si>
    <t>60AØ2027-027</t>
  </si>
  <si>
    <t>Kapeludvidelse ved Hillerød Kirke</t>
  </si>
  <si>
    <t>60AØ2027-040</t>
  </si>
  <si>
    <t>Genopretning af kommunale bygninger og udearealer</t>
  </si>
  <si>
    <t>60AØ2027-041</t>
  </si>
  <si>
    <t xml:space="preserve">Genopretning af bygninger og tekniske installationer, takstfinansierede institutioner </t>
  </si>
  <si>
    <t>60AØ2027-042</t>
  </si>
  <si>
    <t xml:space="preserve">Renovering af Brødeskov kunstgræs </t>
  </si>
  <si>
    <t>60AØ2027-043</t>
  </si>
  <si>
    <t>Renovering af FIF Klubhus, FIF alene</t>
  </si>
  <si>
    <t>Renovering af FIF Klubhus,  og 1. sal til HVRunners</t>
  </si>
  <si>
    <t>60AØ2027-044</t>
  </si>
  <si>
    <t>Udskiftning af vandbehandlingsanlæg i Hillerød Svømmehal</t>
  </si>
  <si>
    <t>60AØ2027-080</t>
  </si>
  <si>
    <t xml:space="preserve">Solceller på tage på kommunale ejendomme, jf. Klimahandleplan pkt. 1.4.6. </t>
  </si>
  <si>
    <t>60AØ2027-081</t>
  </si>
  <si>
    <t>Klimaplanen i Ejendomme</t>
  </si>
  <si>
    <t>60AØ2027-082</t>
  </si>
  <si>
    <t>Genbrugslager og cirkularitet i Ejendomme, jf. klimahandleplan pkt. 4.2.1</t>
  </si>
  <si>
    <t>60AØ2027-083</t>
  </si>
  <si>
    <t>Forøgelse af grøn beplantning på kommunale institutioner, jf. klimahandleplan pkt. 5.2.1</t>
  </si>
  <si>
    <t>60AØ2027-084</t>
  </si>
  <si>
    <t>Nedrivning Rønnevangalle 3</t>
  </si>
  <si>
    <t>60AØ2027-085</t>
  </si>
  <si>
    <t>Bedre kollektive trafikforbindelser i Nordsjælland</t>
  </si>
  <si>
    <t>11AU2027-003 Projektledelse af opgaver knyttet til Arresø Treparten</t>
  </si>
  <si>
    <t>13AU2027-002 Øget rengøring Kulturaksen</t>
  </si>
  <si>
    <t>21AU2027-004 Natur på kommunale arealer Udgår/Erstattes af 11AU2027-013</t>
  </si>
  <si>
    <t>ingen forslag</t>
  </si>
  <si>
    <t xml:space="preserve">ingen forslag </t>
  </si>
  <si>
    <t>34AU2027-001 A - Styrket vejlederindsats som svar på fremtidens rekrutteringsudfordringer scenarie 1 - Anbefalet</t>
  </si>
  <si>
    <t>34AU2027-001 C - Styrket vejlederindsats som svar på fremtidens rekrutteringsudfordringer - Hjemmeplejen</t>
  </si>
  <si>
    <t>34AU2027-003 Skævinge Aktivitetscenter - fast årligt tilskud</t>
  </si>
  <si>
    <t>45AU2027-002 Fortsættelse af TUFF–midler,  tilskud  til Frivilligcenter Hillerød</t>
  </si>
  <si>
    <t xml:space="preserve">45AU2027-003 Klub Vest/Klub Vest+, foreningstilskud til drift og aktiviteter </t>
  </si>
  <si>
    <t>45AU2027-005 Ressourcer til at understøtte kultur, erhverv og brobyggende aktiviteter i Hillerød bymidte i samarbejde med C4 Videncenter</t>
  </si>
  <si>
    <t>50AU2027-003 – Trafikbestilling 2027 Del 2: Pilotprojekt 303 og 307 'Flere i bussen med gratis bus og flere afgange' (gratis bus på linje 303)</t>
  </si>
  <si>
    <t>50AU2027-003 – Trafikbestilling 2027 Del 2: Pilotprojekt 303 og 307, 'Flere i bussen med gratis bus og flere afgange' (Merdrift linje 307: driftsperiode, øget drift hele dagen)</t>
  </si>
  <si>
    <t>50AU2027-003 – Trafikbestilling 2027 Del 2: Pilotprojekt 303 og 307, 'Flere i bussen med gratis bus og flere afgange' (Merdrift på linje 307, driftsperiode i myldretiden kl. 6-9 &amp; kl. 14-18.30)</t>
  </si>
  <si>
    <t>50AU2027-004 Fortsat drift af Favrholm nord for overdrevsvejen</t>
  </si>
  <si>
    <t>11FF2027-002 Ydelsesstøtte og info-aktiviteter</t>
  </si>
  <si>
    <t>11FF2027-010 Begravelseshjælp,  befordringsgodtgørelse og lægeerklæringer</t>
  </si>
  <si>
    <t>34FF2027-001 B Plejehjem - yderligere rammebesparelse- ses i sammenhæng med 34FF2027-001A Plejehjem - Rammebesparelse</t>
  </si>
  <si>
    <t>43FF2027-002 Reduktion i pulje til boligsociale aktiviter( ikke aftalebundne midler)</t>
  </si>
  <si>
    <t>45FF2027-002 Bortfald af tilskud til klatrevæg hos GaK Hillerød klatreklub</t>
  </si>
  <si>
    <t>45FF2027-003 Udfasning af samarbejdet om Jump4Fun</t>
  </si>
  <si>
    <t>45FF2027-007 Kulturkontrakt Cafe Slotsbio</t>
  </si>
  <si>
    <t>45FF2027-008 Kulturkontrakt Mastodonterne</t>
  </si>
  <si>
    <t>Udviddelse af Peder Oxes Allé og dobbeltkryds ved Milnersvej-rundkørslen</t>
  </si>
  <si>
    <t>24.06.2026</t>
  </si>
  <si>
    <t>XA-0000030802</t>
  </si>
  <si>
    <t>Skolen ved Skoven, midlertidig kapacitet</t>
  </si>
  <si>
    <t>9/6-26 Christian</t>
  </si>
  <si>
    <t>BOF-2-2026 Movia - budgetfremskrivning 2027-2030</t>
  </si>
  <si>
    <t xml:space="preserve">BOF-2-2026 Budget omplacering -Affaldstilsynsgebyr indtægter </t>
  </si>
  <si>
    <t xml:space="preserve">BOF-2-2026 Budget omplacering - Affaldstilsynsgebyr indtægter </t>
  </si>
  <si>
    <t>Virkningen af nyt PL skøn fra KL 25/6  2026</t>
  </si>
  <si>
    <t>26.06.2026</t>
  </si>
  <si>
    <t xml:space="preserve">26.06.2026 </t>
  </si>
  <si>
    <t>26.06.2026 betni</t>
  </si>
  <si>
    <t>nyt pl. Juni</t>
  </si>
  <si>
    <t>03.06.2026 betni - pillet ud igen d. 30.06.2026</t>
  </si>
  <si>
    <t>BOF 2-2026 Ungestøtten til SFE - rest retur</t>
  </si>
  <si>
    <t>LCP - punkt 23 - madlevering og madordning</t>
  </si>
  <si>
    <t>OK 26 - individuelle puljer</t>
  </si>
  <si>
    <t>02.07.2026 betni</t>
  </si>
  <si>
    <t>Vejledende ramme KL 2.7.2026</t>
  </si>
  <si>
    <t xml:space="preserve">Vejledende anlægsramme fra KL på 189,367 mio. kr. udmeldt 7.2.2026. </t>
  </si>
  <si>
    <t>Likviditet ultimo juni 2026 (608,406 mio. kr.)</t>
  </si>
  <si>
    <t>Demografireg. 2027-30 - Private skoleelever</t>
  </si>
  <si>
    <t>Demografireg. 2027-30 - Private SFO elever</t>
  </si>
  <si>
    <t>Demografireg. 2027-30 - Efterskoleelever</t>
  </si>
  <si>
    <t>Demografireg. 2027-30 - Kommunale skoleelever</t>
  </si>
  <si>
    <t>3/7 2026 cstr</t>
  </si>
  <si>
    <t>Sundhedsreform - nulstilling af KMF</t>
  </si>
  <si>
    <t>03.07.2026 peos</t>
  </si>
  <si>
    <t>Afrundingskørsel til hele tusinder</t>
  </si>
  <si>
    <t>03.07.2026 betni</t>
  </si>
  <si>
    <t>Indkøbsbesparelse vedr udbud af hobby-og beskæftigelsesartikler fra akt 32, 38,41,42,44,45</t>
  </si>
  <si>
    <t>03.07.2026 llia</t>
  </si>
  <si>
    <t>Indkøbsbesparelse vedr udbud af hobby-og beskæftigelsesartikler til akt. 11</t>
  </si>
  <si>
    <t>Sundhedsreform - nulstilling af Rehabilitering</t>
  </si>
  <si>
    <t>Sundhedsreform - Ressourcer fra træningssekt. Til rehabiliering der overgår til Regionen</t>
  </si>
  <si>
    <t>Sundhedsreform - Specialiseret rehabilitering - opgaven overgår til Regionen</t>
  </si>
  <si>
    <t>Sundhedsreform - Patientrettet forebyggelse - Regionen betaler fremover for opgaven (indtægt)</t>
  </si>
  <si>
    <t>Demografireg. 2027-30 - HFO</t>
  </si>
  <si>
    <t>Akutsygeplejen - opgaveoverdraget sfa sundhedsreformen</t>
  </si>
  <si>
    <t>06.07.2026 betni</t>
  </si>
  <si>
    <t>Specialiseret rehabilitering - opgaveoverdraget sfa. Sundhedsreformen</t>
  </si>
  <si>
    <t>06.07.2026 jbac</t>
  </si>
  <si>
    <t>LCP - punkt 37 - Kræftplan V - til sygeplejen</t>
  </si>
  <si>
    <t>xx.08.2026 llia</t>
  </si>
  <si>
    <t>Indkøbsbesparelse vedr FollowMe licenser til akt. 11</t>
  </si>
  <si>
    <t>Indkøbsbesparelse vedr FollowMe licenser fra akt. 32,34,35, 44, 45</t>
  </si>
  <si>
    <t>Indkøbsbesparelse vedr udbud af storkøkkenudstyr til akt. 11</t>
  </si>
  <si>
    <t>Takst tilretning - BASELINE</t>
  </si>
  <si>
    <t>06.07.2026 peos</t>
  </si>
  <si>
    <t>Lov- og cirkulæreprogram pkt. 11 overførsel af regionale midler tilskud til kulturelle aktiviter</t>
  </si>
  <si>
    <t>17.08.2026 llia</t>
  </si>
  <si>
    <t>Demografi/normtal regulering hjælpemidler opdateret efter ny pl mv.</t>
  </si>
  <si>
    <t>Demografi/normtal regulering hjemmehjælp opdateret efter ny pl mv.</t>
  </si>
  <si>
    <t>Demografi/normtal regulering sygepleje opdateret efter ny pl, ny norm og akutsygeplejen pillet ud</t>
  </si>
  <si>
    <t>Lov - og cirkulæreprogram pkt. 19 lov om arbejdskadesikring (regulering af niveau fra LCP 2026 pkt. 23)</t>
  </si>
  <si>
    <t>Tekniske korrektioner på det specialiserede voksenområde, jfr. Notat</t>
  </si>
  <si>
    <t>Tekniske korrektioner på specialpladser efter Barnets lov, jfr. Notat</t>
  </si>
  <si>
    <t>Tekniske korrektioner på udlagt specialundervisning, jfr. Notat</t>
  </si>
  <si>
    <t xml:space="preserve">V. 7.7.2026 - bry </t>
  </si>
  <si>
    <t>Budgettilpasning  vedr. seniorpensionsenhed samt admbidrag til  Udbetaling Danmark  jf. KLs budgetvejledning</t>
  </si>
  <si>
    <t>07.07.2026 llia</t>
  </si>
  <si>
    <r>
      <t xml:space="preserve">44AU2027-002 Styrkelse af Sundhedsplejens indsat i Stærke Fællesskaber (skal ses sammen med 44FF2027-004) - </t>
    </r>
    <r>
      <rPr>
        <i/>
        <sz val="10"/>
        <color theme="1"/>
        <rFont val="Calibri"/>
        <family val="2"/>
        <scheme val="minor"/>
      </rPr>
      <t>match til FF-forslag (neutral effekt)</t>
    </r>
  </si>
  <si>
    <r>
      <t xml:space="preserve">44AU2027-002 Styrkelse af Sundhedsplejens indsat i Stærke Fællesskaber (skal ses sammen med 44FF2027-004) - </t>
    </r>
    <r>
      <rPr>
        <i/>
        <sz val="10"/>
        <color theme="1"/>
        <rFont val="Calibri"/>
        <family val="2"/>
        <scheme val="minor"/>
      </rPr>
      <t>AU-indsats herudover</t>
    </r>
  </si>
  <si>
    <t xml:space="preserve">Deponering vedr. Generationernes Kvartershus - ud af 2030 </t>
  </si>
  <si>
    <t>08.07.2026</t>
  </si>
  <si>
    <t>PL-skøn Drift - juni 2026</t>
  </si>
  <si>
    <t>PL-skøn Anlæg - juni 2026</t>
  </si>
  <si>
    <r>
      <t>Flyt opstart Generationerns kvarter til</t>
    </r>
    <r>
      <rPr>
        <b/>
        <sz val="11"/>
        <rFont val="Calibri"/>
        <family val="2"/>
        <scheme val="minor"/>
      </rPr>
      <t xml:space="preserve"> 1/7 2031</t>
    </r>
  </si>
  <si>
    <t>Lov- og Cirkulæreprogram pkt. 25  Længde-, vægt- og højdeforøgende tiltag for lastbiler og vogntog</t>
  </si>
  <si>
    <t xml:space="preserve">LCP punkt 27  ændring af lov om miljøbeskyttelse, lov om vand-forsyning, lov om betalingsregler for spildevandsforsyningsselskaber m.v. og vand-sektorloven </t>
  </si>
  <si>
    <t>LCP punkt 28 Bekendtgørelse om brugerbetaling for godkendelse m.v. og tilsyn efter lov om miljøbeskyttelse og lov om husdyrbrug og anvendelse af gødning m.v.</t>
  </si>
  <si>
    <t>LCP punkt 31 Genbesøg af vandområdeplanerne for planperiode 2021 - 2027</t>
  </si>
  <si>
    <t xml:space="preserve">Puljemidler vand- og naturplanter projektet er afsluttet </t>
  </si>
  <si>
    <t>Mellemkommunale betalinger fra andre kommuner - plejehjem</t>
  </si>
  <si>
    <t>12.07.2026 el</t>
  </si>
  <si>
    <t xml:space="preserve">Tilpasning af kostbudgetter på plejehjem </t>
  </si>
  <si>
    <t>13.07.2026 betni</t>
  </si>
  <si>
    <t>forventet kasse ult. 2026</t>
  </si>
  <si>
    <t>forventet kasse ult.2027</t>
  </si>
  <si>
    <t>forventet kasse ult. 2030</t>
  </si>
  <si>
    <t xml:space="preserve">12AU2027-006 Genindførelse af vagt på Rådhuset om onsdagen </t>
  </si>
  <si>
    <t xml:space="preserve">60AØ2027-086 </t>
  </si>
  <si>
    <t>Skiltning af røgfrie legepladser</t>
  </si>
  <si>
    <t>Regule. af Ungestøtten mellem akt. 32 og akt. 44, hvor Ungestøtten kom fra . BOF2 26</t>
  </si>
  <si>
    <t>Takstfinan. Tilbud, korrektion af indtægtsbudgetter pga. pl regulering juni</t>
  </si>
  <si>
    <t>Takstfinan. specialskoler, korrektion af indtægtsbudgetter pga. pl regulering juni</t>
  </si>
  <si>
    <t>Nulstil PL forskel mellem udgifter og indtægter</t>
  </si>
  <si>
    <t>16.07.2026 kira</t>
  </si>
  <si>
    <t>17.07.2026 jbac</t>
  </si>
  <si>
    <t>23.07.2026</t>
  </si>
  <si>
    <t xml:space="preserve">BUDGETTET ER I 2027-PRIS </t>
  </si>
  <si>
    <t>11AU2027-018 Fortsættelse af Friby-ordningen</t>
  </si>
  <si>
    <t xml:space="preserve">Tilretning af låneoptagelse vedr. ESCO projekter </t>
  </si>
  <si>
    <t>Tilretning endelig budget til FBBR jf. beredskabskommissionens beslutning i juni - model 1 udgår</t>
  </si>
  <si>
    <t>Sundhedsreform - estimat for Regionens betaling for brugsret til sundhedscenterpladser</t>
  </si>
  <si>
    <t>foreløbigt skøn</t>
  </si>
  <si>
    <t>Korrektion af budget vedr. refusion fra SDE, foranlediget af justeret bloktilskud</t>
  </si>
  <si>
    <t>03.08.2026 jbac</t>
  </si>
  <si>
    <t>Demografireg. 2027-30 - Bh klasse elever</t>
  </si>
  <si>
    <t>03-08 2026 cstr</t>
  </si>
  <si>
    <t>Teknisk korrektion anbringelser og forebyggende indsatser jf. notat</t>
  </si>
  <si>
    <t>04-08 2026 cstr</t>
  </si>
  <si>
    <t>10. klasseskolens almenbudget nedskrives til 100 elever</t>
  </si>
  <si>
    <t>4.8.2026 bry ( Like )</t>
  </si>
  <si>
    <t>LCP pkt. 36 - Aftale om en samlet 10-årsplan for psykiatrien 2025</t>
  </si>
  <si>
    <t>LCP pkt. 39 - Akutplan for børne- og ungdomspsykiatrien 2027-2028</t>
  </si>
  <si>
    <t>LCP pkt. 37 - Kræftpakke V - svær overvægt 5-8 årige</t>
  </si>
  <si>
    <t>10.07.2026 betni og 05.08.2026 betni</t>
  </si>
  <si>
    <t xml:space="preserve">Korrektion på baggrund af nyt overførselsskøn i budget 2027-2030 </t>
  </si>
  <si>
    <t>Myndighed -SFE, tillægsbevilling i BOF2 26 - effekt inden for service</t>
  </si>
  <si>
    <t>Myndighed -SFE, tillægsbevilling i BOF2 26 - effekt refusion SDE</t>
  </si>
  <si>
    <t>Flyttet til AU-siden</t>
  </si>
  <si>
    <t>10/8 2026</t>
  </si>
  <si>
    <t>Nulstilling af Indtægt/udgift (KCV, KCG, A1, UUH, Stubbevang, kombinationsstillinger) efter juni pl o g OK26</t>
  </si>
  <si>
    <t>10.08.2026</t>
  </si>
  <si>
    <t>10-08 2026 cstr</t>
  </si>
  <si>
    <t>Nulstilling af Indtægt/udgift (10.klasseskole A1 og UUH)</t>
  </si>
  <si>
    <t>Bidrag til fælles IT servicecenter, finansieret af digitaliseringspulje, ØU 20.maj 2026</t>
  </si>
  <si>
    <t>11.08.2026 llia</t>
  </si>
  <si>
    <t>11AU2027-017 Dyrevelfærd, scenarie A udelukker Scenarie B Cafeladen</t>
  </si>
  <si>
    <t>11AU2027-017 Dyrevelfærd, scenarie A udelukker Scenarie B Dagtilbud</t>
  </si>
  <si>
    <t>11AU2027-017 Dyrevelfærd, scenarie A udelukker Scenarie B Ældre</t>
  </si>
  <si>
    <t>11AU2027-017 Dyrevelfærd, scenarie A udelukker Scenarie B Skoler</t>
  </si>
  <si>
    <t>11AU2027-017 Dyrevelfærd, scenarie A udelukker Scenarie B Familie og Sundhed</t>
  </si>
  <si>
    <t>11AU2027-017 Dyrevelfærd, scenarie A udelukker Scenarie B Det specialiserede voksenområde</t>
  </si>
  <si>
    <t>11AU2027-017 Dyrevelfærd, scenarie B udelukker Scenarie A Cafeladen</t>
  </si>
  <si>
    <t>11AU2027-017 Dyrevelfærd, scenarie B udelukker Scenarie A Det specialiserede voksenområde</t>
  </si>
  <si>
    <t>11AU2027-017 Dyrevelfærd, scenarie B udelukker Scenarie A Ældre</t>
  </si>
  <si>
    <t>11AU2027-017 Dyrevelfærd, scenarie B udelukker Scenarie A Dagtilbud</t>
  </si>
  <si>
    <t>11AU2027-017 Dyrevelfærd, scenarie B udelukker Scenarie A Skoler</t>
  </si>
  <si>
    <t>11AU2027-017 Dyrevelfærd, scenarie B udelukker Scenarie A Familie og Sundhed</t>
  </si>
  <si>
    <t>Indkøbsbesparelse vedr udbud af storkøkkenudstyr fra akt. 12, 32,41,42</t>
  </si>
  <si>
    <t>Budgetopfølgning 2-2026 Merudgift til §17 stk. 4 udvalg 1.juni 2026 til 30. juni 2027</t>
  </si>
  <si>
    <t xml:space="preserve">Budgetopfølgning 2-2026 Mindreindtægter for sundhedskort </t>
  </si>
  <si>
    <t>Budgetopfølgning 2-2026 Pulje til udmøntning af lokalløn</t>
  </si>
  <si>
    <t>Budgetopfølgning 2-2026 Erhvervsaktiviteter</t>
  </si>
  <si>
    <t>Budgetopfølgning 2-2026 Leje Af Street-Lab overføres til Ejendomme akt. 12</t>
  </si>
  <si>
    <t>v. 12.08.2026</t>
  </si>
  <si>
    <t xml:space="preserve">Komp.tilsk. vedr. nettotab sfa. ændring i dæk.afgift  </t>
  </si>
  <si>
    <t>v. 12.08.2026 - omplacering til tilskud</t>
  </si>
  <si>
    <t xml:space="preserve">v. 12.08.2026 - omplacering fra skat </t>
  </si>
  <si>
    <t>Digitale arbejdsredskaber i folkeskole - Pcere med skrænt i 2029</t>
  </si>
  <si>
    <t>13/8 2026 cstr</t>
  </si>
  <si>
    <t>11FF2027-011 Administrativ lønreduktion - rammebesparelse i Familiesektionen – reduktion af rådgivere.</t>
  </si>
  <si>
    <t>11FF2027-011 Administrativ lønreduktion - klimaplanens indsats med virksomheder og boligejere om energibesparelser.</t>
  </si>
  <si>
    <t>11FF2027-011 Administrativ lønreduktion - residual til senere udmøntning</t>
  </si>
  <si>
    <t>11FF2027-011 Administrativ lønreduktion - tværgående hygiejneindsats</t>
  </si>
  <si>
    <t xml:space="preserve">BOF 2 - 2026 Tilretning af låneoptagelse vedr. ESCO projekter </t>
  </si>
  <si>
    <t>BOF 2 2026 - tilretning af garatiprovision</t>
  </si>
  <si>
    <t>13.08.2026</t>
  </si>
  <si>
    <t>13.08.2026 kira</t>
  </si>
  <si>
    <t>Overførsel af serviceteam fra By og Miljø til Ejendomme</t>
  </si>
  <si>
    <t xml:space="preserve">Budgetopfølgning 2-2026 </t>
  </si>
  <si>
    <t>XA-0000022228</t>
  </si>
  <si>
    <t>Cykelløsninger i åbent land</t>
  </si>
  <si>
    <t>XA-0000065206</t>
  </si>
  <si>
    <t>13.08.2026 llia</t>
  </si>
  <si>
    <t>Indkøbsbesparelse udbud sportsartikler til akt .11</t>
  </si>
  <si>
    <t>Hillerød Vest Skole, afd. Ålholm, kapacitet – tillægsbevilling, senarie 1</t>
  </si>
  <si>
    <t>Hillerød Vest Skole, afd. Ålholm, kapacitet – tillægsbevilling, senarie 2</t>
  </si>
  <si>
    <t>Hillerødsholmskolen kapacitetsudvidelse - tillægsbevilling, senarie A</t>
  </si>
  <si>
    <t>Hillerødsholmskolen kapacitetsudvidelse - tillægsbevilling, senarie B</t>
  </si>
  <si>
    <t>60AØ2027-120</t>
  </si>
  <si>
    <t>Udbygning af Børnehuset Troldehøjen, Nødebo - tillægsbevilling, senarie 1</t>
  </si>
  <si>
    <t>Udbygning af Børnehuset Troldehøjen, Nødebo - tillægsbevilling, senarie 2</t>
  </si>
  <si>
    <t>60AØ2027-121</t>
  </si>
  <si>
    <t>Tulstrup Børnehus, renoveringsbehov - tillægsbevilling, senarie 1</t>
  </si>
  <si>
    <t>Tulstrup Børnehus, renoveringsbehov - tillægsbevilling, senarie 1 udskiftning af vinduer og døre</t>
  </si>
  <si>
    <t>60AØ2027-140</t>
  </si>
  <si>
    <t>Fastholdelse af kapacitet i område Trollesminde, Børnehjørnet på hospitalsgrunden</t>
  </si>
  <si>
    <t>14.08.2026 Like</t>
  </si>
  <si>
    <t>BOF 2-2026</t>
  </si>
  <si>
    <t>14.08.2026 peos</t>
  </si>
  <si>
    <t>14-08 2026 cstr</t>
  </si>
  <si>
    <t>BOF 1-2026 PPR administration overføres til akt. 11</t>
  </si>
  <si>
    <t>BOF 1-2026 PPR administration overføres til akt. 11 fra akt 42</t>
  </si>
  <si>
    <t>14.08.2026 cstr</t>
  </si>
  <si>
    <t>Tal korr. 14/8-26</t>
  </si>
  <si>
    <t>FORSKEL KRYDSETIFT  IKKE KRYDSET</t>
  </si>
  <si>
    <t>17.08.2026 kira</t>
  </si>
  <si>
    <t>17.08.2026 jbac</t>
  </si>
  <si>
    <t>17.8.26 el</t>
  </si>
  <si>
    <t>Lov og Cirkulere (ny lovgivning) Punkt 22</t>
  </si>
  <si>
    <t>Hillerød Vest Skole, afd. Ålholm, kapacitet – tillægsbevilling, senarie 2, køb af pavilloner</t>
  </si>
  <si>
    <t>41AU2027-001 Ny lovgivning for Dagtilbud (forslag 1: 60%/40%)</t>
  </si>
  <si>
    <t xml:space="preserve">41AU2027-001 Ny lovgivning for Dagtilbud (forslag 2:  54%/46%) </t>
  </si>
  <si>
    <t>Normregulering tandplejen</t>
  </si>
  <si>
    <t>18.08.2026 peos</t>
  </si>
  <si>
    <t>19.08.2026</t>
  </si>
  <si>
    <t>19.08.2026 llia</t>
  </si>
  <si>
    <t>Midler fra digitaliseringspuljen til akt. 11 support til skærmbesøg og fælles servicecenter, godkendt af direktion 18.8.26</t>
  </si>
  <si>
    <t>Midler fra digitaliseringspuljen fra akt. 38 support til skærmbesøg og fælles servicecenter, godkendt af direktion 18.8.26</t>
  </si>
  <si>
    <t>ØU 19.8.2026 Genhusning Tulstrup Børnehus</t>
  </si>
  <si>
    <t>20.08.26 el</t>
  </si>
  <si>
    <t xml:space="preserve">KB 26.08.2026 Sti fra golfbanen til Favrholm St. </t>
  </si>
  <si>
    <t>20.08.2026 Like</t>
  </si>
  <si>
    <t>XA-0000065504</t>
  </si>
  <si>
    <t>Grøn trepart, Arresø</t>
  </si>
  <si>
    <t>XA-0000065505</t>
  </si>
  <si>
    <t>Grøn trepart, Ved Hestehaver</t>
  </si>
  <si>
    <t>XA-0000065506</t>
  </si>
  <si>
    <t>Grøn trepart, Ved Pibemølle</t>
  </si>
  <si>
    <t>20.08.2026 kira</t>
  </si>
  <si>
    <t>Tulstrup Børnehus, genhusning</t>
  </si>
  <si>
    <t>21.08.2026</t>
  </si>
  <si>
    <t>Tekniske korrektioner på de specialiserede områder - faldende profil</t>
  </si>
  <si>
    <t>Tekniske korrektioner på de specialiserede områder -  profil uden reduktion i overslagsår</t>
  </si>
  <si>
    <r>
      <t xml:space="preserve">Servicebuffer - afstemning til vejledende ramme </t>
    </r>
    <r>
      <rPr>
        <sz val="8"/>
        <rFont val="Arial"/>
        <family val="2"/>
      </rPr>
      <t>(+ = over serviceramme)</t>
    </r>
  </si>
  <si>
    <t>Profil i direktionens forslag</t>
  </si>
  <si>
    <t>Digitaliseringspulje - skærmbesøg i ældreplejen</t>
  </si>
  <si>
    <t>46FF2027-001 Folkeoplysningsudvalget rammereduktion</t>
  </si>
  <si>
    <t>XA-0000001054</t>
  </si>
  <si>
    <t>Vedligeholdelse af bygninger</t>
  </si>
  <si>
    <t>Flyttet fra drift til anlæg</t>
  </si>
  <si>
    <t>XA-0000022390</t>
  </si>
  <si>
    <t>Asfaltrenovering 2027</t>
  </si>
  <si>
    <t>XA-0000065211</t>
  </si>
  <si>
    <t>Digitaliseringspulje 2027</t>
  </si>
  <si>
    <t>24.08.2026</t>
  </si>
  <si>
    <t>opus pr. 24.08.2026</t>
  </si>
  <si>
    <t>25.08.2026 llia</t>
  </si>
  <si>
    <t>Indkøbsbesparelse udbud sportsartikler fra akt 42</t>
  </si>
  <si>
    <t xml:space="preserve">Rettelse til udligning </t>
  </si>
  <si>
    <t>Belægning - er indberettet i direktionens budgetoplæg</t>
  </si>
  <si>
    <t>Ejendomme - ex FF-bidrag er indberettet i direktionens budgetoplæg</t>
  </si>
  <si>
    <t>Digitaliseringspulje er indberettet i direktionens budgetoplæg</t>
  </si>
  <si>
    <t>Flytning af driftsramme til anlægsramme - tæller ikke med i summen i linje 11 - ER indberettet i budgetgrundlaget</t>
  </si>
  <si>
    <r>
      <t xml:space="preserve">Finansieringsforslag </t>
    </r>
    <r>
      <rPr>
        <sz val="9"/>
        <rFont val="Arial"/>
        <family val="2"/>
      </rPr>
      <t>- indberettet og indgår i direktionens budgetoplæg</t>
    </r>
  </si>
  <si>
    <r>
      <t xml:space="preserve">Aktivitetsudvidelser - </t>
    </r>
    <r>
      <rPr>
        <sz val="9"/>
        <rFont val="Arial"/>
        <family val="2"/>
      </rPr>
      <t>indberettet og indgår i direktionens budgetoplæg</t>
    </r>
  </si>
  <si>
    <t>Udskyde energibesparende foranstaltninger flytter også låneoptagelse</t>
  </si>
  <si>
    <t>Servicerammeoverholdelse subtotal</t>
  </si>
  <si>
    <t xml:space="preserve">60AØ2027-383 </t>
  </si>
  <si>
    <t>Projektudvikling af 1. divisionsfaciliteter på Højbanerne</t>
  </si>
  <si>
    <t>60AØ2027-384</t>
  </si>
  <si>
    <t>kryds i FF vedr. akt. 31 rettet så forslag tæller med</t>
  </si>
  <si>
    <t>1.9</t>
  </si>
  <si>
    <t>7.9</t>
  </si>
  <si>
    <t>60AØ2027-021 Nedskriver budgettet i 2027 med det beløb der oprindelig stod i 2030</t>
  </si>
  <si>
    <t>3.9</t>
  </si>
  <si>
    <t>2 anlægsønsker fra KIF er godkendt af KB og sendt som tillæg i supplerende høring og lagt ind i SIM. Det er AØ 383 og 384</t>
  </si>
  <si>
    <t>LOG over ændringer ift. 1. version af SIM</t>
  </si>
  <si>
    <t>10.9</t>
  </si>
  <si>
    <t>Mulige justeringer i finansieringsforslag lagt ind som ekstra linjer</t>
  </si>
  <si>
    <t>Forslag vedr. Regional Kulturtilskud rettet fra 300.000 kr. oplyst til budgetseminar 9.9 til 293.000 kr. svarende til DUT-kompensation</t>
  </si>
  <si>
    <t>NY11FF2027-001 Indkøbsprovenu</t>
  </si>
  <si>
    <t>NY11FF2027-004 Automatisering</t>
  </si>
  <si>
    <t>NY11FF2027-006 Tjenestemandspensioner</t>
  </si>
  <si>
    <t xml:space="preserve">NY11FF2027-007 – Forsikringspulje.                                                  </t>
  </si>
  <si>
    <t xml:space="preserve">NY11FF2027-008 – reparation af bilskader                                        </t>
  </si>
  <si>
    <t>NY12FF2027-002 – Husleje – yderligere                                        </t>
  </si>
  <si>
    <t xml:space="preserve">NY12FF2027-003 – Øvrige ejendomsudgifter.                               </t>
  </si>
  <si>
    <t>NY12FF2027-003 – Øvrige ejendomsudgifter Udbedring af brandforhold</t>
  </si>
  <si>
    <t>NY12FF2027-003 – Øvrige ejendomsudgifter Forbrugsudgifter - varme</t>
  </si>
  <si>
    <t>NY12FF2027-003 – Øvrige ejendomsudgifter forbrugsudgifter - el</t>
  </si>
  <si>
    <t>NY12FF2027-003 – Øvrige ejendomsudgifter forbrugsudgifter - vand</t>
  </si>
  <si>
    <t>NY12FF2027-003 – Øvrige ejendomsudgifter Indvendig vedligehold af ejendomme - yderligere reduktion</t>
  </si>
  <si>
    <t>NY42FF2027-003 om KCG kan hæves med 500.000 kr., så den samlet er 1 mio.</t>
  </si>
  <si>
    <t>NY42FF2027-006 om kørsel kan hæves med 250.000 kr. til samlet 750.000</t>
  </si>
  <si>
    <t>NY45FF2027-001 Frederiksborgcentret - reduktion på 2 mio. kr. i 2027 ved at flytte udgifter til p-pladser til 2028</t>
  </si>
  <si>
    <t>NY45FF2027-001 Frederiksborgcentret - flytte investeringsmidler fra 2027 til 2026 i bof-3</t>
  </si>
  <si>
    <t>NY45FF2027-(ny) Regionale kulturtilskud</t>
  </si>
  <si>
    <t>NY46FF2027-001 Udviklingspuljen kan halveres, så den lander på 75.000 kr. årligt, en besparelse på 78.000 kr.</t>
  </si>
  <si>
    <t>NY50FF2027-001 Yderligere reduktion af trafiksikkerhedspuljen så puljen ender på 1.400.000 kr.</t>
  </si>
  <si>
    <t>NY50FF2027-004 Yderligere reduktion af budget for vejbidrag, så puljen ender på 4.560.000 kr.</t>
  </si>
  <si>
    <t>Korrektion af kasse - fremrykket vedr. FBC effekt i 2026</t>
  </si>
  <si>
    <t>Grønnevang skole, afd. Nødebo</t>
  </si>
  <si>
    <t>ny titel</t>
  </si>
  <si>
    <t>STU - reduktion af budgetramme</t>
  </si>
  <si>
    <t>STU - flytning af service til overførsler</t>
  </si>
  <si>
    <t>KODET ift. kryds på FF-arket</t>
  </si>
  <si>
    <t>Der er tilføjet en linje nederst i FF arket med leje af pavilloner på Grønnevang Skole</t>
  </si>
  <si>
    <t>XA-0000030166 Grønnevang Skole, husleje vedr. pavilloner - modpost</t>
  </si>
  <si>
    <t>14.9</t>
  </si>
  <si>
    <t>tæller ikke med i service ved modregning på forside linje 57</t>
  </si>
  <si>
    <t>Ejendomme - husleje vedr. pavilloner på Grønnevangskole - med kodet modpost på XA-0000030166 Grønnevang Skole</t>
  </si>
  <si>
    <t>tilføjelse under FF-arket:</t>
  </si>
  <si>
    <t>15.9</t>
  </si>
  <si>
    <t>Scenarie 3 og 4 vedr. Hillerød Vestskolen</t>
  </si>
  <si>
    <t>NY60AØ2027-121</t>
  </si>
  <si>
    <t>NY 602027-121 Tulstrup Børnehus - justeret budget</t>
  </si>
  <si>
    <t>NY60AØ2027-021</t>
  </si>
  <si>
    <t>Hillerød Vest Skole, afd. Ålholm - Kapacitet i pavilloner, etablering af faglokaler - scenarie 3</t>
  </si>
  <si>
    <t>Hillerød Vest Skole, afd. Ålholm - Udskudt etablering af Drivhuset og udvidelse af ”fingrene - scenarie 4</t>
  </si>
  <si>
    <t>0,25 pct. rammebesparelse ind på alle områder</t>
  </si>
  <si>
    <t>Reduktion af ældrepulje - ændret disponering</t>
  </si>
  <si>
    <t>NY34FF2027-099 Ændret disponering af ældrelovspulje</t>
  </si>
  <si>
    <t>NY11AU2027-010 Øgede ressourcer til lokalplanlægning, herunder omdannelse af Hillerød Hospital og Hillerød Stadion</t>
  </si>
  <si>
    <t>NY11AU2027-009 Grøn trepart - Realisering af Hillerød Kommunes Omlægningsplan</t>
  </si>
  <si>
    <t xml:space="preserve">NY41AU2027-001 Ny lovgivning for Dagtilbud (forslag 2:  57%/43%) </t>
  </si>
  <si>
    <t>NYAØ2027-999</t>
  </si>
  <si>
    <r>
      <t>Lokalplan for Hillerød Stadion</t>
    </r>
    <r>
      <rPr>
        <sz val="8"/>
        <rFont val="Verdana"/>
        <family val="2"/>
      </rPr>
      <t xml:space="preserve"> </t>
    </r>
  </si>
  <si>
    <t>der er på akt 12 reduceret 500 t. kr. og flyttet til anlæg vedr. Skolen ved Skoven. Kodet modpost på anlæg</t>
  </si>
  <si>
    <t>NY11AU2027-006 Øge procent fra 3% til 4% til lønsum fra anlægsprojekter  - halv effekt</t>
  </si>
  <si>
    <t>nye versioner af AU-forslag</t>
  </si>
  <si>
    <t>11-006 halv effekt i alle år og med kvart effekt i 2027</t>
  </si>
  <si>
    <t>11-009 begge linjer reduceret til 75 pct. i år 2027.</t>
  </si>
  <si>
    <t>11-010 Nyt forslag med nye penge vedr. Hillerød Hospital og Hillerød Stadion inkl. rådgiver på akt. 28. med 75 pct. i år 2027</t>
  </si>
  <si>
    <t>Ny version af 60AØ-040 genopretnning af kommunale bygninger - kun beløb i 2027. Overslagsår nullet</t>
  </si>
  <si>
    <t>NYAØ2027-999 flyttet forslag 11AU2027-016 Midler til foreningen Jordnær, ekstern rådgiver til anlæg</t>
  </si>
  <si>
    <t>NY60AØ2027-040</t>
  </si>
  <si>
    <t>indtægtsside rettet med septemberkørslen</t>
  </si>
  <si>
    <t>NY Midlertidige pavilloner på Skolen ved Skoven – konvertering fra drift til anlæg i 2027</t>
  </si>
  <si>
    <t>Rettelse indkomstskat - septemberkørsel</t>
  </si>
  <si>
    <t>Rettelse efterregulering af 2025 - komp. for selvbudgettering</t>
  </si>
  <si>
    <t>Rettelse af selskabsskat - septemberkørsel</t>
  </si>
  <si>
    <t>Rettelse udligning, septemer kørsel</t>
  </si>
  <si>
    <t xml:space="preserve">Rettelse statstilskud - september kørsel </t>
  </si>
  <si>
    <t>Rettelse selskabsskatter- september kørsel</t>
  </si>
  <si>
    <t>beregning af pl-effekt vedr. anlægsforslag rettet. Der var korrigeret dobbelt ift. omregning i mio. kr.</t>
  </si>
  <si>
    <t>NY38FF2027-002 Yderligere reduktion af Digitaliseringspulje</t>
  </si>
  <si>
    <t>41FF2027-001 UDGÅR</t>
  </si>
  <si>
    <t>34FF2027-001 UDGÅR</t>
  </si>
  <si>
    <t>NY2027-006 Pulje til frivillige foreningers samarbejde med HFO</t>
  </si>
  <si>
    <t>AMU</t>
  </si>
  <si>
    <t>Tulstrup Børnehus, ny byg , senarie 2</t>
  </si>
  <si>
    <t>NY FF flytning af projektledelsesressourcer fra drift til anlæg (Ejendomme og By og Miljø)</t>
  </si>
  <si>
    <t>NYFF2027-999 Reduktion af almen undervisning</t>
  </si>
  <si>
    <t>NYFF2027-999 Reduktion af specialundervisning</t>
  </si>
  <si>
    <t>NY45FF2027-001 Reduktion i budget til Frederiksborgcentret</t>
  </si>
  <si>
    <t>NY11AU2027-009 Grøn trepart og Arresø Trepart - Realisering af Hillerød Kommunes Omlægningsplan</t>
  </si>
  <si>
    <t>NY45AU2027-002 Fortsættelse af TUFF–midler,  tilskud  til Frivilligcenter Hillerød</t>
  </si>
  <si>
    <t xml:space="preserve">Udbygning af Børnehuset Troldehøjen, Nødebo - tillægsbevilling, senarie 1 inkl 3 mio.kr. </t>
  </si>
  <si>
    <t>NY60AØ2027-384</t>
  </si>
  <si>
    <t xml:space="preserve">23FF2027-001 Fjernelse af bænke </t>
  </si>
  <si>
    <t xml:space="preserve"> Øge procent fra 3% til 4% til lønsum fra anlægsprojekter  - halv effekt</t>
  </si>
  <si>
    <t>NY11AU2027-006</t>
  </si>
  <si>
    <t>Lokalplan for Hillerød Stadion, ekstern rådgivning</t>
  </si>
  <si>
    <t xml:space="preserve">NY13FF2027-001 Affald og forskudt tid  </t>
  </si>
  <si>
    <t>NY13AU2027-004 Åbning af haller i ferieperioder Forslag 3, ramme</t>
  </si>
  <si>
    <t>NY60AØ2027-683</t>
  </si>
  <si>
    <t>NYUspecificeret Rammebesparelse på alle aktivtetsområder og arbejdspladser 0,25 pct (1/400 del) - ex. dagtilbud</t>
  </si>
  <si>
    <t xml:space="preserve">NY23FF2027-001 Fjernelse af bænke </t>
  </si>
  <si>
    <t>Cykelstipulje, missing link, herunder forundersøgelse Hillerød St./Milnersvej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</si>
</sst>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-* #,##0.00_-;\-* #,##0.00_-;_-* &quot;-&quot;??_-;_-@_-"/>
    <numFmt numFmtId="164" formatCode="_(* #,##0.00_);_(* \(#,##0.00\);_(* &quot;-&quot;??_);_(@_)"/>
    <numFmt numFmtId="165" formatCode="#,##0&quot;kr&quot;;\-#,##0&quot;kr&quot;"/>
    <numFmt numFmtId="166" formatCode="#,##0.00&quot;kr&quot;;\-#,##0.00&quot;kr&quot;"/>
    <numFmt numFmtId="167" formatCode="#,##0.0"/>
    <numFmt numFmtId="168" formatCode="[&lt;36526]dd\-mmm\-yy;dd\-mmm\-yyyy"/>
    <numFmt numFmtId="169" formatCode="0.0%"/>
    <numFmt numFmtId="170" formatCode="#,##0.000"/>
    <numFmt numFmtId="171" formatCode="#,##0.0_);[Red]\-#,##0.0"/>
    <numFmt numFmtId="172" formatCode="#,##0.0_ ;[Red]\-#,##0.0\ "/>
    <numFmt numFmtId="173" formatCode="0.0"/>
    <numFmt numFmtId="174" formatCode="0.000"/>
    <numFmt numFmtId="175" formatCode=";;;"/>
    <numFmt numFmtId="176" formatCode="#,##0;\-#,##0;#,##0;@"/>
    <numFmt numFmtId="177" formatCode="_ * #,##0_ ;_ * \-#,##0_ ;_ * &quot;-&quot;??_ ;_ @_ "/>
    <numFmt numFmtId="178" formatCode="#,##0.000_ ;[Red]\-#,##0.000\ "/>
    <numFmt numFmtId="179" formatCode="[&lt;36526]dd/mmm/yy;dd/mmm/yyyy"/>
    <numFmt numFmtId="180" formatCode="_(* #,##0_);_(* \(#,##0\);_(* &quot;-&quot;??_);_(@_)"/>
  </numFmts>
  <fonts count="20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12"/>
      <color indexed="11"/>
      <name val="Arial"/>
      <family val="2"/>
    </font>
    <font>
      <b/>
      <sz val="12"/>
      <color indexed="11"/>
      <name val="Times New Roman"/>
      <family val="1"/>
    </font>
    <font>
      <b/>
      <sz val="10"/>
      <color indexed="18"/>
      <name val="Arial"/>
      <family val="2"/>
    </font>
    <font>
      <b/>
      <sz val="10"/>
      <name val="Arial"/>
      <family val="2"/>
    </font>
    <font>
      <b/>
      <sz val="14"/>
      <color indexed="18"/>
      <name val="Arial"/>
      <family val="2"/>
    </font>
    <font>
      <b/>
      <sz val="12"/>
      <name val="Times New Roman"/>
      <family val="1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0"/>
      <color indexed="10"/>
      <name val="Arial"/>
      <family val="2"/>
    </font>
    <font>
      <sz val="16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color rgb="FF00B05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FF0000"/>
      <name val="Arial"/>
      <family val="2"/>
    </font>
    <font>
      <sz val="11"/>
      <color theme="3" tint="0.3999755851924192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B0F0"/>
      <name val="Arial"/>
      <family val="2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sz val="11"/>
      <name val="Calibri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color rgb="FF00000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9"/>
      <color indexed="81"/>
      <name val="Tahoma"/>
      <family val="2"/>
    </font>
    <font>
      <sz val="9"/>
      <color theme="1"/>
      <name val="Verdana"/>
      <family val="2"/>
    </font>
    <font>
      <sz val="10"/>
      <name val="Arial"/>
      <family val="2"/>
    </font>
    <font>
      <sz val="12"/>
      <name val="Calibri"/>
      <family val="2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rgb="FFFF0000"/>
      <name val="Calibri"/>
      <family val="2"/>
      <scheme val="minor"/>
    </font>
    <font>
      <b/>
      <sz val="8"/>
      <color rgb="FF000000"/>
      <name val="Arial"/>
      <family val="2"/>
    </font>
    <font>
      <sz val="9"/>
      <color indexed="81"/>
      <name val="Tahoma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Arial"/>
      <family val="2"/>
    </font>
    <font>
      <sz val="10"/>
      <color indexed="18"/>
      <name val="Arial"/>
      <family val="2"/>
    </font>
    <font>
      <b/>
      <u/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6"/>
      <color rgb="FF0070C0"/>
      <name val="Arial"/>
      <family val="2"/>
    </font>
    <font>
      <sz val="11"/>
      <color theme="9" tint="-0.249977111117893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4"/>
      <color theme="1"/>
      <name val="Times New Roman"/>
      <family val="1"/>
    </font>
    <font>
      <sz val="9"/>
      <name val="Calibri"/>
      <family val="2"/>
      <scheme val="minor"/>
    </font>
    <font>
      <i/>
      <sz val="1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name val="Arial"/>
      <family val="2"/>
    </font>
    <font>
      <i/>
      <sz val="10"/>
      <name val="Arial"/>
      <family val="2"/>
    </font>
    <font>
      <i/>
      <sz val="11"/>
      <color rgb="FFFF0000"/>
      <name val="Calibri"/>
      <family val="2"/>
    </font>
    <font>
      <i/>
      <sz val="10"/>
      <color rgb="FFFF0000"/>
      <name val="Arial"/>
      <family val="2"/>
    </font>
    <font>
      <b/>
      <i/>
      <sz val="12"/>
      <color rgb="FFFF0000"/>
      <name val="Arial"/>
      <family val="2"/>
    </font>
    <font>
      <b/>
      <i/>
      <sz val="10"/>
      <color rgb="FFFF0000"/>
      <name val="Arial"/>
      <family val="2"/>
    </font>
    <font>
      <sz val="11"/>
      <name val="Arial"/>
      <family val="2"/>
    </font>
    <font>
      <sz val="11"/>
      <color rgb="FF00B050"/>
      <name val="Arial"/>
      <family val="2"/>
    </font>
    <font>
      <sz val="11"/>
      <color rgb="FFFF0000"/>
      <name val="Arial"/>
      <family val="2"/>
    </font>
    <font>
      <sz val="10"/>
      <color theme="0" tint="-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name val="Calibri"/>
      <family val="2"/>
    </font>
    <font>
      <i/>
      <sz val="11"/>
      <color rgb="FFFF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4"/>
      <name val="Times New Roman"/>
      <family val="1"/>
    </font>
    <font>
      <i/>
      <sz val="10"/>
      <name val="Calibri"/>
      <family val="2"/>
    </font>
    <font>
      <b/>
      <sz val="12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</font>
    <font>
      <sz val="14"/>
      <color theme="0" tint="-0.249977111117893"/>
      <name val="Arial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color rgb="FFFF0000"/>
      <name val="Calibri"/>
      <family val="2"/>
    </font>
    <font>
      <sz val="11"/>
      <color theme="1"/>
      <name val="Calibri"/>
      <family val="2"/>
    </font>
    <font>
      <i/>
      <sz val="10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  <font>
      <sz val="11"/>
      <color rgb="FF9C570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name val="Calibri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sz val="11"/>
      <name val="Calibri"/>
      <family val="2"/>
    </font>
    <font>
      <sz val="11"/>
      <name val="Calibri"/>
      <family val="2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</font>
    <font>
      <sz val="8"/>
      <name val="Verdana"/>
      <family val="2"/>
    </font>
    <font>
      <sz val="10"/>
      <color theme="9" tint="-0.249977111117893"/>
      <name val="Calibri"/>
      <family val="2"/>
    </font>
    <font>
      <sz val="11"/>
      <name val="Calibri"/>
    </font>
    <font>
      <i/>
      <sz val="11"/>
      <color rgb="FFFF0000"/>
      <name val="Calibri"/>
    </font>
    <font>
      <sz val="11"/>
      <color theme="1"/>
      <name val="Calibri"/>
    </font>
    <font>
      <i/>
      <sz val="11"/>
      <name val="Calibri"/>
      <family val="2"/>
      <scheme val="minor"/>
    </font>
    <font>
      <sz val="10"/>
      <name val="Verdana"/>
      <family val="2"/>
    </font>
    <font>
      <sz val="9"/>
      <name val="Verdana"/>
      <family val="2"/>
    </font>
  </fonts>
  <fills count="48">
    <fill>
      <patternFill patternType="none"/>
    </fill>
    <fill>
      <patternFill patternType="gray125"/>
    </fill>
    <fill>
      <patternFill patternType="solid">
        <fgColor indexed="9"/>
        <bgColor indexed="23"/>
      </patternFill>
    </fill>
    <fill>
      <patternFill patternType="solid">
        <fgColor indexed="10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thin">
        <color theme="9"/>
      </top>
      <bottom style="medium">
        <color indexed="6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46">
    <xf numFmtId="0" fontId="0" fillId="0" borderId="0"/>
    <xf numFmtId="166" fontId="48" fillId="0" borderId="0" applyFill="0" applyBorder="0" applyAlignment="0" applyProtection="0"/>
    <xf numFmtId="165" fontId="48" fillId="0" borderId="0" applyFill="0" applyBorder="0" applyAlignment="0" applyProtection="0"/>
    <xf numFmtId="168" fontId="50" fillId="2" borderId="1" applyProtection="0">
      <alignment horizontal="left"/>
    </xf>
    <xf numFmtId="2" fontId="48" fillId="0" borderId="0" applyFill="0" applyBorder="0" applyAlignment="0" applyProtection="0"/>
    <xf numFmtId="0" fontId="4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/>
    <xf numFmtId="10" fontId="47" fillId="0" borderId="0" applyFill="0" applyBorder="0" applyAlignment="0" applyProtection="0"/>
    <xf numFmtId="167" fontId="48" fillId="0" borderId="0" applyFill="0" applyBorder="0" applyAlignment="0" applyProtection="0"/>
    <xf numFmtId="3" fontId="48" fillId="0" borderId="0" applyFill="0" applyBorder="0" applyAlignment="0" applyProtection="0"/>
    <xf numFmtId="0" fontId="48" fillId="0" borderId="2" applyNumberFormat="0" applyFill="0" applyAlignment="0" applyProtection="0"/>
    <xf numFmtId="0" fontId="45" fillId="0" borderId="0"/>
    <xf numFmtId="0" fontId="45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7" fillId="0" borderId="0" applyNumberFormat="0" applyFill="0" applyBorder="0" applyAlignment="0" applyProtection="0"/>
    <xf numFmtId="0" fontId="41" fillId="0" borderId="0"/>
    <xf numFmtId="0" fontId="47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0" fontId="41" fillId="0" borderId="0"/>
    <xf numFmtId="0" fontId="47" fillId="0" borderId="0" applyNumberFormat="0" applyFill="0" applyBorder="0" applyAlignment="0" applyProtection="0"/>
    <xf numFmtId="0" fontId="40" fillId="0" borderId="0"/>
    <xf numFmtId="0" fontId="47" fillId="0" borderId="0" applyNumberFormat="0" applyFill="0" applyBorder="0" applyAlignment="0" applyProtection="0"/>
    <xf numFmtId="0" fontId="40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/>
    <xf numFmtId="166" fontId="47" fillId="0" borderId="0" applyFill="0" applyBorder="0" applyAlignment="0" applyProtection="0"/>
    <xf numFmtId="165" fontId="47" fillId="0" borderId="0" applyFill="0" applyBorder="0" applyAlignment="0" applyProtection="0"/>
    <xf numFmtId="165" fontId="47" fillId="0" borderId="0" applyFill="0" applyBorder="0" applyAlignment="0" applyProtection="0"/>
    <xf numFmtId="2" fontId="47" fillId="0" borderId="0" applyFill="0" applyBorder="0" applyAlignment="0" applyProtection="0"/>
    <xf numFmtId="167" fontId="47" fillId="0" borderId="0" applyFill="0" applyBorder="0" applyAlignment="0" applyProtection="0"/>
    <xf numFmtId="3" fontId="47" fillId="0" borderId="0" applyFill="0" applyBorder="0" applyAlignment="0" applyProtection="0"/>
    <xf numFmtId="0" fontId="47" fillId="0" borderId="2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66" fontId="47" fillId="0" borderId="0" applyFill="0" applyBorder="0" applyAlignment="0" applyProtection="0"/>
    <xf numFmtId="0" fontId="40" fillId="0" borderId="0"/>
    <xf numFmtId="0" fontId="47" fillId="0" borderId="0"/>
    <xf numFmtId="164" fontId="40" fillId="0" borderId="0" applyFont="0" applyFill="0" applyBorder="0" applyAlignment="0" applyProtection="0"/>
    <xf numFmtId="0" fontId="40" fillId="0" borderId="0"/>
    <xf numFmtId="0" fontId="40" fillId="0" borderId="0"/>
    <xf numFmtId="0" fontId="47" fillId="0" borderId="0" applyNumberFormat="0" applyFill="0" applyBorder="0" applyAlignment="0" applyProtection="0"/>
    <xf numFmtId="0" fontId="40" fillId="0" borderId="0"/>
    <xf numFmtId="0" fontId="40" fillId="0" borderId="0"/>
    <xf numFmtId="2" fontId="47" fillId="0" borderId="0" applyFill="0" applyBorder="0" applyAlignment="0" applyProtection="0"/>
    <xf numFmtId="167" fontId="47" fillId="0" borderId="0" applyFill="0" applyBorder="0" applyAlignment="0" applyProtection="0"/>
    <xf numFmtId="3" fontId="47" fillId="0" borderId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64" fontId="40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7" fillId="0" borderId="0" applyNumberFormat="0" applyFill="0" applyBorder="0" applyAlignment="0" applyProtection="0"/>
    <xf numFmtId="0" fontId="39" fillId="0" borderId="0"/>
    <xf numFmtId="0" fontId="47" fillId="0" borderId="0" applyNumberFormat="0" applyFill="0" applyBorder="0" applyAlignment="0" applyProtection="0"/>
    <xf numFmtId="164" fontId="47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164" fontId="47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19" applyNumberFormat="0" applyFill="0" applyAlignment="0" applyProtection="0"/>
    <xf numFmtId="0" fontId="82" fillId="0" borderId="20" applyNumberFormat="0" applyFill="0" applyAlignment="0" applyProtection="0"/>
    <xf numFmtId="0" fontId="83" fillId="0" borderId="21" applyNumberFormat="0" applyFill="0" applyAlignment="0" applyProtection="0"/>
    <xf numFmtId="0" fontId="83" fillId="0" borderId="0" applyNumberFormat="0" applyFill="0" applyBorder="0" applyAlignment="0" applyProtection="0"/>
    <xf numFmtId="0" fontId="84" fillId="10" borderId="0" applyNumberFormat="0" applyBorder="0" applyAlignment="0" applyProtection="0"/>
    <xf numFmtId="0" fontId="85" fillId="11" borderId="0" applyNumberFormat="0" applyBorder="0" applyAlignment="0" applyProtection="0"/>
    <xf numFmtId="0" fontId="86" fillId="12" borderId="0" applyNumberFormat="0" applyBorder="0" applyAlignment="0" applyProtection="0"/>
    <xf numFmtId="0" fontId="87" fillId="13" borderId="22" applyNumberFormat="0" applyAlignment="0" applyProtection="0"/>
    <xf numFmtId="0" fontId="88" fillId="14" borderId="23" applyNumberFormat="0" applyAlignment="0" applyProtection="0"/>
    <xf numFmtId="0" fontId="89" fillId="14" borderId="22" applyNumberFormat="0" applyAlignment="0" applyProtection="0"/>
    <xf numFmtId="0" fontId="90" fillId="0" borderId="24" applyNumberFormat="0" applyFill="0" applyAlignment="0" applyProtection="0"/>
    <xf numFmtId="0" fontId="91" fillId="15" borderId="25" applyNumberFormat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94" fillId="24" borderId="0" applyNumberFormat="0" applyBorder="0" applyAlignment="0" applyProtection="0"/>
    <xf numFmtId="0" fontId="94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94" fillId="28" borderId="0" applyNumberFormat="0" applyBorder="0" applyAlignment="0" applyProtection="0"/>
    <xf numFmtId="0" fontId="94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94" fillId="32" borderId="0" applyNumberFormat="0" applyBorder="0" applyAlignment="0" applyProtection="0"/>
    <xf numFmtId="0" fontId="94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5" borderId="0" applyNumberFormat="0" applyBorder="0" applyAlignment="0" applyProtection="0"/>
    <xf numFmtId="0" fontId="94" fillId="36" borderId="0" applyNumberFormat="0" applyBorder="0" applyAlignment="0" applyProtection="0"/>
    <xf numFmtId="0" fontId="94" fillId="37" borderId="0" applyNumberFormat="0" applyBorder="0" applyAlignment="0" applyProtection="0"/>
    <xf numFmtId="0" fontId="36" fillId="38" borderId="0" applyNumberFormat="0" applyBorder="0" applyAlignment="0" applyProtection="0"/>
    <xf numFmtId="0" fontId="36" fillId="39" borderId="0" applyNumberFormat="0" applyBorder="0" applyAlignment="0" applyProtection="0"/>
    <xf numFmtId="0" fontId="94" fillId="40" borderId="0" applyNumberFormat="0" applyBorder="0" applyAlignment="0" applyProtection="0"/>
    <xf numFmtId="0" fontId="79" fillId="0" borderId="0"/>
    <xf numFmtId="164" fontId="36" fillId="0" borderId="0" applyFont="0" applyFill="0" applyBorder="0" applyAlignment="0" applyProtection="0"/>
    <xf numFmtId="0" fontId="79" fillId="0" borderId="0"/>
    <xf numFmtId="0" fontId="79" fillId="0" borderId="0"/>
    <xf numFmtId="0" fontId="36" fillId="16" borderId="26" applyNumberFormat="0" applyFont="0" applyAlignment="0" applyProtection="0"/>
    <xf numFmtId="0" fontId="78" fillId="0" borderId="27" applyNumberFormat="0" applyFill="0" applyAlignment="0" applyProtection="0"/>
    <xf numFmtId="0" fontId="79" fillId="0" borderId="0"/>
    <xf numFmtId="164" fontId="118" fillId="0" borderId="0" applyFont="0" applyFill="0" applyBorder="0" applyAlignment="0" applyProtection="0"/>
    <xf numFmtId="9" fontId="120" fillId="0" borderId="0" applyFont="0" applyFill="0" applyBorder="0" applyAlignment="0" applyProtection="0"/>
    <xf numFmtId="0" fontId="35" fillId="0" borderId="0"/>
    <xf numFmtId="0" fontId="35" fillId="0" borderId="0"/>
    <xf numFmtId="0" fontId="35" fillId="16" borderId="26" applyNumberFormat="0" applyFont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8" borderId="0" applyNumberFormat="0" applyBorder="0" applyAlignment="0" applyProtection="0"/>
    <xf numFmtId="0" fontId="35" fillId="39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16" borderId="26" applyNumberFormat="0" applyFont="0" applyAlignment="0" applyProtection="0"/>
    <xf numFmtId="0" fontId="34" fillId="0" borderId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8" borderId="0" applyNumberFormat="0" applyBorder="0" applyAlignment="0" applyProtection="0"/>
    <xf numFmtId="0" fontId="34" fillId="39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16" borderId="26" applyNumberFormat="0" applyFont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32" fillId="0" borderId="0"/>
    <xf numFmtId="0" fontId="32" fillId="16" borderId="26" applyNumberFormat="0" applyFont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4" borderId="0" applyNumberFormat="0" applyBorder="0" applyAlignment="0" applyProtection="0"/>
    <xf numFmtId="0" fontId="32" fillId="35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1" fillId="0" borderId="0"/>
    <xf numFmtId="0" fontId="31" fillId="0" borderId="0"/>
    <xf numFmtId="0" fontId="31" fillId="16" borderId="26" applyNumberFormat="0" applyFont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0" fillId="0" borderId="0"/>
    <xf numFmtId="0" fontId="30" fillId="16" borderId="26" applyNumberFormat="0" applyFont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29" fillId="0" borderId="0"/>
    <xf numFmtId="0" fontId="29" fillId="0" borderId="0"/>
    <xf numFmtId="0" fontId="29" fillId="16" borderId="26" applyNumberFormat="0" applyFont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8" fillId="0" borderId="0"/>
    <xf numFmtId="0" fontId="122" fillId="0" borderId="0" applyNumberForma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16" borderId="26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16" borderId="26" applyNumberFormat="0" applyFont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16" borderId="26" applyNumberFormat="0" applyFont="0" applyAlignment="0" applyProtection="0"/>
    <xf numFmtId="0" fontId="26" fillId="0" borderId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5" fillId="0" borderId="0"/>
    <xf numFmtId="0" fontId="25" fillId="16" borderId="26" applyNumberFormat="0" applyFont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16" borderId="26" applyNumberFormat="0" applyFont="0" applyAlignment="0" applyProtection="0"/>
    <xf numFmtId="0" fontId="24" fillId="0" borderId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3" fillId="0" borderId="0"/>
    <xf numFmtId="0" fontId="23" fillId="16" borderId="26" applyNumberFormat="0" applyFont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16" borderId="26" applyNumberFormat="0" applyFont="0" applyAlignment="0" applyProtection="0"/>
    <xf numFmtId="0" fontId="22" fillId="0" borderId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16" borderId="26" applyNumberFormat="0" applyFont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16" borderId="26" applyNumberFormat="0" applyFont="0" applyAlignment="0" applyProtection="0"/>
    <xf numFmtId="0" fontId="20" fillId="0" borderId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19" fillId="0" borderId="0"/>
    <xf numFmtId="0" fontId="18" fillId="0" borderId="0"/>
    <xf numFmtId="0" fontId="17" fillId="0" borderId="0"/>
    <xf numFmtId="0" fontId="17" fillId="16" borderId="26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6" fillId="0" borderId="0"/>
    <xf numFmtId="0" fontId="16" fillId="16" borderId="26" applyNumberFormat="0" applyFont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4" borderId="0" applyNumberFormat="0" applyBorder="0" applyAlignment="0" applyProtection="0"/>
    <xf numFmtId="0" fontId="16" fillId="35" borderId="0" applyNumberFormat="0" applyBorder="0" applyAlignment="0" applyProtection="0"/>
    <xf numFmtId="0" fontId="16" fillId="38" borderId="0" applyNumberFormat="0" applyBorder="0" applyAlignment="0" applyProtection="0"/>
    <xf numFmtId="0" fontId="16" fillId="39" borderId="0" applyNumberFormat="0" applyBorder="0" applyAlignment="0" applyProtection="0"/>
    <xf numFmtId="0" fontId="15" fillId="0" borderId="0"/>
    <xf numFmtId="0" fontId="15" fillId="16" borderId="26" applyNumberFormat="0" applyFont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8" borderId="0" applyNumberFormat="0" applyBorder="0" applyAlignment="0" applyProtection="0"/>
    <xf numFmtId="0" fontId="15" fillId="39" borderId="0" applyNumberFormat="0" applyBorder="0" applyAlignment="0" applyProtection="0"/>
    <xf numFmtId="0" fontId="14" fillId="0" borderId="0"/>
    <xf numFmtId="0" fontId="14" fillId="16" borderId="26" applyNumberFormat="0" applyFont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38" borderId="0" applyNumberFormat="0" applyBorder="0" applyAlignment="0" applyProtection="0"/>
    <xf numFmtId="0" fontId="14" fillId="39" borderId="0" applyNumberFormat="0" applyBorder="0" applyAlignment="0" applyProtection="0"/>
    <xf numFmtId="0" fontId="13" fillId="0" borderId="0"/>
    <xf numFmtId="0" fontId="13" fillId="16" borderId="26" applyNumberFormat="0" applyFont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4" borderId="0" applyNumberFormat="0" applyBorder="0" applyAlignment="0" applyProtection="0"/>
    <xf numFmtId="0" fontId="13" fillId="35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2" fillId="0" borderId="0"/>
    <xf numFmtId="0" fontId="12" fillId="16" borderId="26" applyNumberFormat="0" applyFont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1" fillId="0" borderId="0"/>
    <xf numFmtId="0" fontId="11" fillId="16" borderId="26" applyNumberFormat="0" applyFont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10" fillId="0" borderId="0"/>
    <xf numFmtId="0" fontId="10" fillId="16" borderId="26" applyNumberFormat="0" applyFont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8" borderId="0" applyNumberFormat="0" applyBorder="0" applyAlignment="0" applyProtection="0"/>
    <xf numFmtId="0" fontId="10" fillId="3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4" fontId="4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47" fillId="0" borderId="0" applyFon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164" fontId="8" fillId="0" borderId="0" applyFont="0" applyFill="0" applyBorder="0" applyAlignment="0" applyProtection="0"/>
    <xf numFmtId="0" fontId="8" fillId="16" borderId="26" applyNumberFormat="0" applyFont="0" applyAlignment="0" applyProtection="0"/>
    <xf numFmtId="164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8" fillId="0" borderId="0"/>
    <xf numFmtId="0" fontId="8" fillId="0" borderId="0"/>
    <xf numFmtId="0" fontId="8" fillId="16" borderId="26" applyNumberFormat="0" applyFont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6" borderId="26" applyNumberFormat="0" applyFont="0" applyAlignment="0" applyProtection="0"/>
    <xf numFmtId="0" fontId="8" fillId="0" borderId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6" borderId="26" applyNumberFormat="0" applyFont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16" borderId="26" applyNumberFormat="0" applyFont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0" borderId="0"/>
    <xf numFmtId="0" fontId="8" fillId="16" borderId="26" applyNumberFormat="0" applyFont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16" borderId="26" applyNumberFormat="0" applyFont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0" borderId="0"/>
    <xf numFmtId="0" fontId="8" fillId="16" borderId="26" applyNumberFormat="0" applyFont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6" borderId="26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6" borderId="26" applyNumberFormat="0" applyFont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6" borderId="26" applyNumberFormat="0" applyFont="0" applyAlignment="0" applyProtection="0"/>
    <xf numFmtId="0" fontId="8" fillId="0" borderId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16" borderId="26" applyNumberFormat="0" applyFont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6" borderId="26" applyNumberFormat="0" applyFont="0" applyAlignment="0" applyProtection="0"/>
    <xf numFmtId="0" fontId="8" fillId="0" borderId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16" borderId="26" applyNumberFormat="0" applyFont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6" borderId="26" applyNumberFormat="0" applyFont="0" applyAlignment="0" applyProtection="0"/>
    <xf numFmtId="0" fontId="8" fillId="0" borderId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6" borderId="26" applyNumberFormat="0" applyFont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6" borderId="26" applyNumberFormat="0" applyFont="0" applyAlignment="0" applyProtection="0"/>
    <xf numFmtId="0" fontId="8" fillId="0" borderId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6" borderId="26" applyNumberFormat="0" applyFont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16" borderId="26" applyNumberFormat="0" applyFont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16" borderId="26" applyNumberFormat="0" applyFont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16" borderId="26" applyNumberFormat="0" applyFont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16" borderId="26" applyNumberFormat="0" applyFont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16" borderId="26" applyNumberFormat="0" applyFont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16" borderId="26" applyNumberFormat="0" applyFont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16" borderId="26" applyNumberFormat="0" applyFont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179" fontId="50" fillId="2" borderId="1" applyProtection="0">
      <alignment horizontal="left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4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47" fillId="0" borderId="0" applyFont="0" applyFill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43" fontId="6" fillId="0" borderId="0" applyFont="0" applyFill="0" applyBorder="0" applyAlignment="0" applyProtection="0"/>
    <xf numFmtId="0" fontId="6" fillId="16" borderId="26" applyNumberFormat="0" applyFont="0" applyAlignment="0" applyProtection="0"/>
    <xf numFmtId="43" fontId="47" fillId="0" borderId="0" applyFont="0" applyFill="0" applyBorder="0" applyAlignment="0" applyProtection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0" borderId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0" borderId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0" borderId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0" borderId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0" borderId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4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47" fillId="0" borderId="0" applyFont="0" applyFill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43" fontId="6" fillId="0" borderId="0" applyFont="0" applyFill="0" applyBorder="0" applyAlignment="0" applyProtection="0"/>
    <xf numFmtId="0" fontId="6" fillId="16" borderId="26" applyNumberFormat="0" applyFont="0" applyAlignment="0" applyProtection="0"/>
    <xf numFmtId="43" fontId="47" fillId="0" borderId="0" applyFont="0" applyFill="0" applyBorder="0" applyAlignment="0" applyProtection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0" borderId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0" borderId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0" borderId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0" borderId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0" borderId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0" borderId="0"/>
    <xf numFmtId="0" fontId="6" fillId="16" borderId="26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5" fillId="0" borderId="0"/>
    <xf numFmtId="0" fontId="3" fillId="0" borderId="0"/>
    <xf numFmtId="0" fontId="2" fillId="0" borderId="0"/>
    <xf numFmtId="0" fontId="178" fillId="12" borderId="0" applyNumberFormat="0" applyBorder="0" applyAlignment="0" applyProtection="0"/>
    <xf numFmtId="0" fontId="2" fillId="16" borderId="26" applyNumberFormat="0" applyFon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</cellStyleXfs>
  <cellXfs count="998">
    <xf numFmtId="0" fontId="0" fillId="0" borderId="0" xfId="0"/>
    <xf numFmtId="167" fontId="48" fillId="0" borderId="0" xfId="5" applyNumberFormat="1"/>
    <xf numFmtId="0" fontId="54" fillId="0" borderId="0" xfId="5" applyFont="1"/>
    <xf numFmtId="0" fontId="59" fillId="3" borderId="3" xfId="5" applyFont="1" applyFill="1" applyBorder="1"/>
    <xf numFmtId="0" fontId="53" fillId="0" borderId="0" xfId="5" applyFont="1"/>
    <xf numFmtId="0" fontId="55" fillId="0" borderId="0" xfId="5" applyFont="1"/>
    <xf numFmtId="0" fontId="54" fillId="4" borderId="0" xfId="5" applyFont="1" applyFill="1"/>
    <xf numFmtId="0" fontId="61" fillId="0" borderId="0" xfId="0" applyFont="1"/>
    <xf numFmtId="0" fontId="53" fillId="4" borderId="0" xfId="5" applyFont="1" applyFill="1"/>
    <xf numFmtId="0" fontId="47" fillId="0" borderId="5" xfId="0" applyFont="1" applyBorder="1"/>
    <xf numFmtId="0" fontId="60" fillId="0" borderId="4" xfId="0" applyFont="1" applyBorder="1"/>
    <xf numFmtId="0" fontId="47" fillId="0" borderId="4" xfId="0" applyFont="1" applyBorder="1"/>
    <xf numFmtId="0" fontId="47" fillId="0" borderId="6" xfId="0" applyFont="1" applyBorder="1"/>
    <xf numFmtId="0" fontId="46" fillId="0" borderId="6" xfId="0" applyFont="1" applyBorder="1"/>
    <xf numFmtId="0" fontId="46" fillId="0" borderId="5" xfId="0" applyFont="1" applyBorder="1"/>
    <xf numFmtId="0" fontId="60" fillId="0" borderId="7" xfId="0" applyFont="1" applyBorder="1"/>
    <xf numFmtId="0" fontId="60" fillId="4" borderId="7" xfId="0" applyFont="1" applyFill="1" applyBorder="1"/>
    <xf numFmtId="0" fontId="47" fillId="4" borderId="0" xfId="0" applyFont="1" applyFill="1"/>
    <xf numFmtId="167" fontId="0" fillId="0" borderId="0" xfId="0" applyNumberFormat="1"/>
    <xf numFmtId="167" fontId="47" fillId="0" borderId="0" xfId="6" applyNumberFormat="1" applyBorder="1"/>
    <xf numFmtId="167" fontId="47" fillId="4" borderId="0" xfId="6" applyNumberFormat="1" applyFill="1" applyBorder="1"/>
    <xf numFmtId="169" fontId="47" fillId="0" borderId="12" xfId="8" applyNumberFormat="1" applyBorder="1"/>
    <xf numFmtId="169" fontId="47" fillId="0" borderId="13" xfId="8" applyNumberFormat="1" applyBorder="1"/>
    <xf numFmtId="0" fontId="47" fillId="0" borderId="0" xfId="7"/>
    <xf numFmtId="167" fontId="47" fillId="4" borderId="10" xfId="6" applyNumberFormat="1" applyFill="1" applyBorder="1"/>
    <xf numFmtId="171" fontId="47" fillId="0" borderId="9" xfId="6" applyNumberFormat="1" applyBorder="1"/>
    <xf numFmtId="167" fontId="47" fillId="0" borderId="0" xfId="0" applyNumberFormat="1" applyFont="1" applyAlignment="1" applyProtection="1">
      <alignment horizontal="left"/>
      <protection locked="0"/>
    </xf>
    <xf numFmtId="0" fontId="46" fillId="4" borderId="5" xfId="0" applyFont="1" applyFill="1" applyBorder="1"/>
    <xf numFmtId="0" fontId="47" fillId="0" borderId="0" xfId="0" applyFont="1"/>
    <xf numFmtId="0" fontId="58" fillId="0" borderId="0" xfId="5" applyFont="1" applyFill="1" applyBorder="1"/>
    <xf numFmtId="0" fontId="47" fillId="0" borderId="15" xfId="0" applyFont="1" applyBorder="1" applyAlignment="1">
      <alignment horizontal="center"/>
    </xf>
    <xf numFmtId="0" fontId="46" fillId="0" borderId="4" xfId="0" applyFont="1" applyBorder="1"/>
    <xf numFmtId="167" fontId="47" fillId="4" borderId="12" xfId="6" applyNumberFormat="1" applyFill="1" applyBorder="1"/>
    <xf numFmtId="167" fontId="47" fillId="0" borderId="12" xfId="6" applyNumberFormat="1" applyBorder="1"/>
    <xf numFmtId="0" fontId="0" fillId="0" borderId="11" xfId="0" applyBorder="1"/>
    <xf numFmtId="167" fontId="47" fillId="0" borderId="11" xfId="5" applyNumberFormat="1" applyFont="1" applyBorder="1"/>
    <xf numFmtId="167" fontId="47" fillId="0" borderId="13" xfId="5" applyNumberFormat="1" applyFont="1" applyBorder="1"/>
    <xf numFmtId="167" fontId="47" fillId="0" borderId="0" xfId="0" applyNumberFormat="1" applyFont="1"/>
    <xf numFmtId="167" fontId="47" fillId="0" borderId="12" xfId="0" applyNumberFormat="1" applyFont="1" applyBorder="1"/>
    <xf numFmtId="0" fontId="47" fillId="0" borderId="0" xfId="0" applyFont="1" applyAlignment="1">
      <alignment wrapText="1"/>
    </xf>
    <xf numFmtId="0" fontId="49" fillId="0" borderId="0" xfId="0" applyFont="1"/>
    <xf numFmtId="167" fontId="65" fillId="0" borderId="0" xfId="5" applyNumberFormat="1" applyFont="1" applyBorder="1"/>
    <xf numFmtId="167" fontId="51" fillId="4" borderId="16" xfId="6" applyNumberFormat="1" applyFont="1" applyFill="1" applyBorder="1"/>
    <xf numFmtId="0" fontId="51" fillId="4" borderId="14" xfId="6" applyFont="1" applyFill="1" applyBorder="1"/>
    <xf numFmtId="169" fontId="47" fillId="5" borderId="16" xfId="8" applyNumberFormat="1" applyFill="1" applyBorder="1"/>
    <xf numFmtId="0" fontId="65" fillId="5" borderId="14" xfId="6" applyFont="1" applyFill="1" applyBorder="1"/>
    <xf numFmtId="0" fontId="65" fillId="4" borderId="7" xfId="6" applyFont="1" applyFill="1" applyBorder="1"/>
    <xf numFmtId="0" fontId="65" fillId="4" borderId="10" xfId="6" applyFont="1" applyFill="1" applyBorder="1"/>
    <xf numFmtId="0" fontId="65" fillId="4" borderId="18" xfId="6" applyFont="1" applyFill="1" applyBorder="1"/>
    <xf numFmtId="0" fontId="65" fillId="5" borderId="16" xfId="6" applyFont="1" applyFill="1" applyBorder="1"/>
    <xf numFmtId="0" fontId="62" fillId="5" borderId="4" xfId="6" applyFont="1" applyFill="1" applyBorder="1"/>
    <xf numFmtId="167" fontId="65" fillId="5" borderId="4" xfId="6" applyNumberFormat="1" applyFont="1" applyFill="1" applyBorder="1"/>
    <xf numFmtId="0" fontId="65" fillId="5" borderId="4" xfId="6" applyFont="1" applyFill="1" applyBorder="1"/>
    <xf numFmtId="167" fontId="66" fillId="5" borderId="15" xfId="6" applyNumberFormat="1" applyFont="1" applyFill="1" applyBorder="1"/>
    <xf numFmtId="0" fontId="66" fillId="5" borderId="5" xfId="6" applyFont="1" applyFill="1" applyBorder="1"/>
    <xf numFmtId="167" fontId="66" fillId="5" borderId="16" xfId="6" applyNumberFormat="1" applyFont="1" applyFill="1" applyBorder="1"/>
    <xf numFmtId="0" fontId="66" fillId="5" borderId="6" xfId="6" applyFont="1" applyFill="1" applyBorder="1"/>
    <xf numFmtId="171" fontId="66" fillId="4" borderId="15" xfId="6" applyNumberFormat="1" applyFont="1" applyFill="1" applyBorder="1"/>
    <xf numFmtId="0" fontId="62" fillId="5" borderId="7" xfId="6" applyFont="1" applyFill="1" applyBorder="1"/>
    <xf numFmtId="167" fontId="66" fillId="5" borderId="14" xfId="6" applyNumberFormat="1" applyFont="1" applyFill="1" applyBorder="1"/>
    <xf numFmtId="167" fontId="66" fillId="0" borderId="12" xfId="0" applyNumberFormat="1" applyFont="1" applyBorder="1"/>
    <xf numFmtId="0" fontId="65" fillId="0" borderId="0" xfId="0" applyFont="1"/>
    <xf numFmtId="0" fontId="66" fillId="0" borderId="4" xfId="0" applyFont="1" applyBorder="1"/>
    <xf numFmtId="0" fontId="66" fillId="0" borderId="6" xfId="0" applyFont="1" applyBorder="1"/>
    <xf numFmtId="0" fontId="64" fillId="0" borderId="7" xfId="0" applyFont="1" applyBorder="1"/>
    <xf numFmtId="0" fontId="50" fillId="0" borderId="10" xfId="0" applyFont="1" applyBorder="1"/>
    <xf numFmtId="0" fontId="50" fillId="0" borderId="18" xfId="0" applyFont="1" applyBorder="1"/>
    <xf numFmtId="0" fontId="0" fillId="0" borderId="6" xfId="0" applyBorder="1"/>
    <xf numFmtId="167" fontId="64" fillId="0" borderId="0" xfId="0" applyNumberFormat="1" applyFont="1"/>
    <xf numFmtId="167" fontId="64" fillId="0" borderId="11" xfId="0" applyNumberFormat="1" applyFont="1" applyBorder="1"/>
    <xf numFmtId="167" fontId="64" fillId="0" borderId="12" xfId="0" applyNumberFormat="1" applyFont="1" applyBorder="1"/>
    <xf numFmtId="167" fontId="64" fillId="0" borderId="13" xfId="0" applyNumberFormat="1" applyFont="1" applyBorder="1"/>
    <xf numFmtId="0" fontId="67" fillId="0" borderId="0" xfId="0" applyFont="1"/>
    <xf numFmtId="0" fontId="65" fillId="0" borderId="0" xfId="5" applyFont="1" applyBorder="1"/>
    <xf numFmtId="0" fontId="66" fillId="0" borderId="0" xfId="0" applyFont="1"/>
    <xf numFmtId="0" fontId="66" fillId="6" borderId="6" xfId="5" applyFont="1" applyFill="1" applyBorder="1"/>
    <xf numFmtId="167" fontId="66" fillId="6" borderId="12" xfId="5" applyNumberFormat="1" applyFont="1" applyFill="1" applyBorder="1"/>
    <xf numFmtId="167" fontId="66" fillId="6" borderId="13" xfId="5" applyNumberFormat="1" applyFont="1" applyFill="1" applyBorder="1"/>
    <xf numFmtId="0" fontId="65" fillId="6" borderId="7" xfId="0" applyFont="1" applyFill="1" applyBorder="1"/>
    <xf numFmtId="0" fontId="66" fillId="6" borderId="10" xfId="0" applyFont="1" applyFill="1" applyBorder="1"/>
    <xf numFmtId="0" fontId="66" fillId="6" borderId="18" xfId="0" applyFont="1" applyFill="1" applyBorder="1"/>
    <xf numFmtId="0" fontId="66" fillId="6" borderId="5" xfId="0" applyFont="1" applyFill="1" applyBorder="1"/>
    <xf numFmtId="0" fontId="66" fillId="6" borderId="9" xfId="0" applyFont="1" applyFill="1" applyBorder="1"/>
    <xf numFmtId="0" fontId="66" fillId="6" borderId="4" xfId="0" applyFont="1" applyFill="1" applyBorder="1"/>
    <xf numFmtId="0" fontId="66" fillId="6" borderId="0" xfId="0" applyFont="1" applyFill="1"/>
    <xf numFmtId="0" fontId="65" fillId="6" borderId="0" xfId="0" applyFont="1" applyFill="1"/>
    <xf numFmtId="0" fontId="65" fillId="6" borderId="11" xfId="0" applyFont="1" applyFill="1" applyBorder="1"/>
    <xf numFmtId="0" fontId="65" fillId="6" borderId="4" xfId="0" applyFont="1" applyFill="1" applyBorder="1"/>
    <xf numFmtId="167" fontId="65" fillId="6" borderId="9" xfId="0" applyNumberFormat="1" applyFont="1" applyFill="1" applyBorder="1"/>
    <xf numFmtId="167" fontId="65" fillId="6" borderId="8" xfId="0" applyNumberFormat="1" applyFont="1" applyFill="1" applyBorder="1"/>
    <xf numFmtId="167" fontId="65" fillId="6" borderId="0" xfId="0" applyNumberFormat="1" applyFont="1" applyFill="1"/>
    <xf numFmtId="167" fontId="65" fillId="6" borderId="11" xfId="0" applyNumberFormat="1" applyFont="1" applyFill="1" applyBorder="1"/>
    <xf numFmtId="172" fontId="66" fillId="0" borderId="0" xfId="5" applyNumberFormat="1" applyFont="1" applyBorder="1"/>
    <xf numFmtId="167" fontId="47" fillId="0" borderId="0" xfId="5" applyNumberFormat="1" applyFont="1"/>
    <xf numFmtId="0" fontId="68" fillId="0" borderId="0" xfId="0" applyFont="1"/>
    <xf numFmtId="0" fontId="69" fillId="0" borderId="0" xfId="0" applyFont="1"/>
    <xf numFmtId="0" fontId="46" fillId="0" borderId="0" xfId="0" applyFont="1"/>
    <xf numFmtId="0" fontId="54" fillId="0" borderId="10" xfId="5" applyFont="1" applyBorder="1"/>
    <xf numFmtId="0" fontId="56" fillId="0" borderId="10" xfId="5" applyFont="1" applyBorder="1" applyAlignment="1">
      <alignment horizontal="right"/>
    </xf>
    <xf numFmtId="167" fontId="51" fillId="4" borderId="9" xfId="6" applyNumberFormat="1" applyFont="1" applyFill="1" applyBorder="1"/>
    <xf numFmtId="167" fontId="47" fillId="4" borderId="9" xfId="6" applyNumberFormat="1" applyFill="1" applyBorder="1"/>
    <xf numFmtId="0" fontId="51" fillId="5" borderId="9" xfId="7" applyFont="1" applyFill="1" applyBorder="1"/>
    <xf numFmtId="167" fontId="47" fillId="0" borderId="9" xfId="7" applyNumberFormat="1" applyBorder="1"/>
    <xf numFmtId="170" fontId="0" fillId="0" borderId="0" xfId="0" applyNumberFormat="1"/>
    <xf numFmtId="172" fontId="47" fillId="0" borderId="11" xfId="5" applyNumberFormat="1" applyFont="1" applyBorder="1"/>
    <xf numFmtId="3" fontId="0" fillId="0" borderId="0" xfId="0" applyNumberFormat="1"/>
    <xf numFmtId="0" fontId="46" fillId="0" borderId="14" xfId="0" applyFont="1" applyBorder="1"/>
    <xf numFmtId="167" fontId="65" fillId="6" borderId="18" xfId="0" applyNumberFormat="1" applyFont="1" applyFill="1" applyBorder="1"/>
    <xf numFmtId="0" fontId="74" fillId="0" borderId="4" xfId="5" applyFont="1" applyBorder="1"/>
    <xf numFmtId="3" fontId="74" fillId="0" borderId="0" xfId="5" applyNumberFormat="1" applyFont="1" applyBorder="1" applyAlignment="1">
      <alignment horizontal="right"/>
    </xf>
    <xf numFmtId="3" fontId="74" fillId="0" borderId="11" xfId="5" applyNumberFormat="1" applyFont="1" applyBorder="1" applyAlignment="1">
      <alignment horizontal="right"/>
    </xf>
    <xf numFmtId="0" fontId="73" fillId="0" borderId="0" xfId="5" applyFont="1" applyBorder="1"/>
    <xf numFmtId="3" fontId="73" fillId="0" borderId="0" xfId="5" applyNumberFormat="1" applyFont="1" applyBorder="1" applyAlignment="1">
      <alignment horizontal="right"/>
    </xf>
    <xf numFmtId="3" fontId="73" fillId="0" borderId="11" xfId="5" applyNumberFormat="1" applyFont="1" applyBorder="1" applyAlignment="1">
      <alignment horizontal="right"/>
    </xf>
    <xf numFmtId="0" fontId="73" fillId="0" borderId="0" xfId="5" applyFont="1" applyFill="1" applyBorder="1"/>
    <xf numFmtId="0" fontId="73" fillId="0" borderId="0" xfId="5" applyFont="1" applyFill="1" applyBorder="1" applyAlignment="1">
      <alignment horizontal="right"/>
    </xf>
    <xf numFmtId="3" fontId="73" fillId="0" borderId="0" xfId="5" applyNumberFormat="1" applyFont="1" applyFill="1" applyBorder="1" applyAlignment="1">
      <alignment horizontal="right"/>
    </xf>
    <xf numFmtId="3" fontId="73" fillId="0" borderId="11" xfId="5" applyNumberFormat="1" applyFont="1" applyFill="1" applyBorder="1" applyAlignment="1">
      <alignment horizontal="right"/>
    </xf>
    <xf numFmtId="0" fontId="73" fillId="0" borderId="0" xfId="0" applyFont="1"/>
    <xf numFmtId="0" fontId="73" fillId="0" borderId="6" xfId="0" applyFont="1" applyBorder="1"/>
    <xf numFmtId="0" fontId="73" fillId="0" borderId="12" xfId="0" applyFont="1" applyBorder="1"/>
    <xf numFmtId="0" fontId="73" fillId="0" borderId="15" xfId="0" applyFont="1" applyBorder="1" applyAlignment="1">
      <alignment horizontal="center"/>
    </xf>
    <xf numFmtId="3" fontId="63" fillId="0" borderId="0" xfId="5" applyNumberFormat="1" applyFont="1" applyFill="1" applyBorder="1" applyAlignment="1">
      <alignment horizontal="right"/>
    </xf>
    <xf numFmtId="170" fontId="47" fillId="0" borderId="0" xfId="0" applyNumberFormat="1" applyFont="1"/>
    <xf numFmtId="0" fontId="47" fillId="9" borderId="0" xfId="0" applyFont="1" applyFill="1"/>
    <xf numFmtId="0" fontId="0" fillId="0" borderId="0" xfId="0" applyAlignment="1">
      <alignment vertical="center"/>
    </xf>
    <xf numFmtId="0" fontId="65" fillId="5" borderId="10" xfId="6" applyFont="1" applyFill="1" applyBorder="1"/>
    <xf numFmtId="0" fontId="65" fillId="5" borderId="18" xfId="6" applyFont="1" applyFill="1" applyBorder="1"/>
    <xf numFmtId="0" fontId="65" fillId="5" borderId="15" xfId="6" applyFont="1" applyFill="1" applyBorder="1"/>
    <xf numFmtId="174" fontId="48" fillId="0" borderId="0" xfId="5" applyNumberFormat="1"/>
    <xf numFmtId="0" fontId="55" fillId="0" borderId="7" xfId="5" applyFont="1" applyBorder="1"/>
    <xf numFmtId="0" fontId="56" fillId="0" borderId="18" xfId="5" applyFont="1" applyBorder="1" applyAlignment="1">
      <alignment horizontal="right"/>
    </xf>
    <xf numFmtId="0" fontId="73" fillId="0" borderId="4" xfId="0" applyFont="1" applyBorder="1"/>
    <xf numFmtId="3" fontId="73" fillId="0" borderId="0" xfId="0" applyNumberFormat="1" applyFont="1"/>
    <xf numFmtId="170" fontId="48" fillId="0" borderId="0" xfId="5" applyNumberFormat="1"/>
    <xf numFmtId="170" fontId="47" fillId="0" borderId="0" xfId="5" applyNumberFormat="1" applyFont="1"/>
    <xf numFmtId="0" fontId="0" fillId="0" borderId="0" xfId="0" applyAlignment="1">
      <alignment horizontal="center"/>
    </xf>
    <xf numFmtId="167" fontId="66" fillId="5" borderId="4" xfId="6" applyNumberFormat="1" applyFont="1" applyFill="1" applyBorder="1"/>
    <xf numFmtId="0" fontId="65" fillId="0" borderId="5" xfId="0" applyFont="1" applyBorder="1" applyAlignment="1">
      <alignment horizontal="center" wrapText="1"/>
    </xf>
    <xf numFmtId="0" fontId="65" fillId="0" borderId="7" xfId="0" applyFont="1" applyBorder="1" applyAlignment="1">
      <alignment horizontal="center"/>
    </xf>
    <xf numFmtId="0" fontId="65" fillId="0" borderId="10" xfId="0" applyFont="1" applyBorder="1" applyAlignment="1">
      <alignment horizontal="center"/>
    </xf>
    <xf numFmtId="0" fontId="65" fillId="0" borderId="18" xfId="0" applyFont="1" applyBorder="1" applyAlignment="1">
      <alignment horizontal="center"/>
    </xf>
    <xf numFmtId="167" fontId="65" fillId="5" borderId="7" xfId="6" applyNumberFormat="1" applyFont="1" applyFill="1" applyBorder="1"/>
    <xf numFmtId="167" fontId="65" fillId="5" borderId="10" xfId="6" applyNumberFormat="1" applyFont="1" applyFill="1" applyBorder="1"/>
    <xf numFmtId="167" fontId="65" fillId="5" borderId="18" xfId="6" applyNumberFormat="1" applyFont="1" applyFill="1" applyBorder="1"/>
    <xf numFmtId="174" fontId="0" fillId="0" borderId="0" xfId="0" applyNumberFormat="1"/>
    <xf numFmtId="170" fontId="65" fillId="0" borderId="0" xfId="0" applyNumberFormat="1" applyFont="1"/>
    <xf numFmtId="3" fontId="47" fillId="0" borderId="0" xfId="0" applyNumberFormat="1" applyFont="1"/>
    <xf numFmtId="0" fontId="75" fillId="0" borderId="0" xfId="0" applyFont="1"/>
    <xf numFmtId="0" fontId="47" fillId="0" borderId="0" xfId="0" applyFont="1" applyAlignment="1">
      <alignment horizontal="center"/>
    </xf>
    <xf numFmtId="168" fontId="56" fillId="2" borderId="0" xfId="3" applyFont="1" applyBorder="1">
      <alignment horizontal="left"/>
    </xf>
    <xf numFmtId="0" fontId="58" fillId="0" borderId="0" xfId="83" applyFont="1" applyFill="1" applyBorder="1"/>
    <xf numFmtId="3" fontId="73" fillId="0" borderId="0" xfId="83" applyNumberFormat="1" applyFont="1" applyFill="1" applyBorder="1" applyAlignment="1">
      <alignment horizontal="right"/>
    </xf>
    <xf numFmtId="170" fontId="65" fillId="6" borderId="0" xfId="0" applyNumberFormat="1" applyFont="1" applyFill="1"/>
    <xf numFmtId="0" fontId="58" fillId="0" borderId="0" xfId="5" applyFont="1" applyFill="1" applyBorder="1" applyAlignment="1">
      <alignment horizontal="center"/>
    </xf>
    <xf numFmtId="0" fontId="46" fillId="0" borderId="14" xfId="0" applyFont="1" applyBorder="1" applyAlignment="1">
      <alignment horizontal="center"/>
    </xf>
    <xf numFmtId="167" fontId="66" fillId="0" borderId="13" xfId="0" applyNumberFormat="1" applyFont="1" applyBorder="1"/>
    <xf numFmtId="167" fontId="66" fillId="0" borderId="0" xfId="0" applyNumberFormat="1" applyFont="1"/>
    <xf numFmtId="0" fontId="107" fillId="0" borderId="15" xfId="0" applyFont="1" applyBorder="1" applyAlignment="1">
      <alignment horizontal="center"/>
    </xf>
    <xf numFmtId="0" fontId="103" fillId="0" borderId="15" xfId="0" applyFont="1" applyBorder="1" applyAlignment="1">
      <alignment horizontal="center"/>
    </xf>
    <xf numFmtId="0" fontId="103" fillId="0" borderId="0" xfId="0" applyFont="1"/>
    <xf numFmtId="0" fontId="103" fillId="0" borderId="0" xfId="0" applyFont="1" applyAlignment="1">
      <alignment horizontal="center"/>
    </xf>
    <xf numFmtId="0" fontId="74" fillId="0" borderId="7" xfId="5" applyFont="1" applyBorder="1"/>
    <xf numFmtId="0" fontId="73" fillId="0" borderId="10" xfId="5" applyFont="1" applyBorder="1"/>
    <xf numFmtId="3" fontId="74" fillId="0" borderId="10" xfId="5" applyNumberFormat="1" applyFont="1" applyBorder="1" applyAlignment="1">
      <alignment horizontal="right"/>
    </xf>
    <xf numFmtId="3" fontId="74" fillId="0" borderId="18" xfId="5" applyNumberFormat="1" applyFont="1" applyBorder="1" applyAlignment="1">
      <alignment horizontal="right"/>
    </xf>
    <xf numFmtId="0" fontId="74" fillId="0" borderId="16" xfId="0" applyFont="1" applyBorder="1" applyAlignment="1">
      <alignment horizontal="center"/>
    </xf>
    <xf numFmtId="0" fontId="73" fillId="0" borderId="7" xfId="5" applyFont="1" applyBorder="1"/>
    <xf numFmtId="3" fontId="73" fillId="0" borderId="10" xfId="5" applyNumberFormat="1" applyFont="1" applyBorder="1" applyAlignment="1">
      <alignment horizontal="right"/>
    </xf>
    <xf numFmtId="3" fontId="73" fillId="0" borderId="18" xfId="5" applyNumberFormat="1" applyFont="1" applyBorder="1" applyAlignment="1">
      <alignment horizontal="right"/>
    </xf>
    <xf numFmtId="3" fontId="73" fillId="0" borderId="11" xfId="0" applyNumberFormat="1" applyFont="1" applyBorder="1"/>
    <xf numFmtId="0" fontId="73" fillId="0" borderId="11" xfId="0" applyFont="1" applyBorder="1"/>
    <xf numFmtId="0" fontId="74" fillId="0" borderId="4" xfId="0" applyFont="1" applyBorder="1"/>
    <xf numFmtId="0" fontId="73" fillId="0" borderId="13" xfId="0" applyFont="1" applyBorder="1"/>
    <xf numFmtId="0" fontId="73" fillId="0" borderId="16" xfId="0" applyFont="1" applyBorder="1" applyAlignment="1">
      <alignment horizontal="center"/>
    </xf>
    <xf numFmtId="0" fontId="73" fillId="0" borderId="0" xfId="0" applyFont="1" applyAlignment="1">
      <alignment horizontal="center"/>
    </xf>
    <xf numFmtId="0" fontId="74" fillId="0" borderId="15" xfId="0" applyFont="1" applyBorder="1"/>
    <xf numFmtId="0" fontId="73" fillId="0" borderId="15" xfId="0" applyFont="1" applyBorder="1"/>
    <xf numFmtId="0" fontId="76" fillId="0" borderId="0" xfId="0" applyFont="1"/>
    <xf numFmtId="170" fontId="73" fillId="0" borderId="0" xfId="0" applyNumberFormat="1" applyFont="1"/>
    <xf numFmtId="0" fontId="104" fillId="0" borderId="0" xfId="0" applyFont="1"/>
    <xf numFmtId="0" fontId="52" fillId="0" borderId="0" xfId="0" applyFont="1"/>
    <xf numFmtId="176" fontId="0" fillId="0" borderId="0" xfId="0" applyNumberFormat="1"/>
    <xf numFmtId="3" fontId="105" fillId="0" borderId="0" xfId="5" applyNumberFormat="1" applyFont="1" applyBorder="1"/>
    <xf numFmtId="3" fontId="105" fillId="4" borderId="0" xfId="5" applyNumberFormat="1" applyFont="1" applyFill="1" applyBorder="1"/>
    <xf numFmtId="3" fontId="65" fillId="0" borderId="0" xfId="5" applyNumberFormat="1" applyFont="1" applyBorder="1"/>
    <xf numFmtId="170" fontId="65" fillId="0" borderId="11" xfId="6" applyNumberFormat="1" applyFont="1" applyFill="1" applyBorder="1"/>
    <xf numFmtId="170" fontId="65" fillId="0" borderId="4" xfId="6" applyNumberFormat="1" applyFont="1" applyFill="1" applyBorder="1"/>
    <xf numFmtId="170" fontId="65" fillId="0" borderId="0" xfId="6" applyNumberFormat="1" applyFont="1" applyFill="1" applyBorder="1"/>
    <xf numFmtId="170" fontId="65" fillId="0" borderId="6" xfId="6" applyNumberFormat="1" applyFont="1" applyFill="1" applyBorder="1"/>
    <xf numFmtId="170" fontId="65" fillId="0" borderId="12" xfId="6" applyNumberFormat="1" applyFont="1" applyFill="1" applyBorder="1"/>
    <xf numFmtId="170" fontId="65" fillId="0" borderId="13" xfId="6" applyNumberFormat="1" applyFont="1" applyFill="1" applyBorder="1"/>
    <xf numFmtId="170" fontId="66" fillId="0" borderId="6" xfId="6" applyNumberFormat="1" applyFont="1" applyFill="1" applyBorder="1"/>
    <xf numFmtId="170" fontId="66" fillId="0" borderId="12" xfId="6" applyNumberFormat="1" applyFont="1" applyFill="1" applyBorder="1"/>
    <xf numFmtId="170" fontId="66" fillId="0" borderId="13" xfId="6" applyNumberFormat="1" applyFont="1" applyFill="1" applyBorder="1"/>
    <xf numFmtId="170" fontId="65" fillId="0" borderId="7" xfId="6" applyNumberFormat="1" applyFont="1" applyFill="1" applyBorder="1"/>
    <xf numFmtId="170" fontId="65" fillId="0" borderId="10" xfId="6" applyNumberFormat="1" applyFont="1" applyFill="1" applyBorder="1"/>
    <xf numFmtId="170" fontId="65" fillId="0" borderId="18" xfId="6" applyNumberFormat="1" applyFont="1" applyFill="1" applyBorder="1"/>
    <xf numFmtId="170" fontId="66" fillId="0" borderId="5" xfId="6" applyNumberFormat="1" applyFont="1" applyFill="1" applyBorder="1"/>
    <xf numFmtId="170" fontId="66" fillId="0" borderId="4" xfId="6" applyNumberFormat="1" applyFont="1" applyFill="1" applyBorder="1"/>
    <xf numFmtId="0" fontId="65" fillId="5" borderId="10" xfId="7" applyFont="1" applyFill="1" applyBorder="1"/>
    <xf numFmtId="167" fontId="66" fillId="5" borderId="10" xfId="6" applyNumberFormat="1" applyFont="1" applyFill="1" applyBorder="1"/>
    <xf numFmtId="170" fontId="47" fillId="0" borderId="0" xfId="0" applyNumberFormat="1" applyFont="1" applyAlignment="1">
      <alignment horizontal="center"/>
    </xf>
    <xf numFmtId="0" fontId="117" fillId="0" borderId="0" xfId="0" applyFont="1" applyAlignment="1">
      <alignment vertical="top" wrapText="1"/>
    </xf>
    <xf numFmtId="3" fontId="0" fillId="0" borderId="0" xfId="0" applyNumberFormat="1" applyAlignment="1">
      <alignment wrapText="1"/>
    </xf>
    <xf numFmtId="3" fontId="47" fillId="0" borderId="0" xfId="0" applyNumberFormat="1" applyFont="1" applyAlignment="1">
      <alignment vertical="top" wrapText="1"/>
    </xf>
    <xf numFmtId="170" fontId="66" fillId="8" borderId="5" xfId="6" applyNumberFormat="1" applyFont="1" applyFill="1" applyBorder="1"/>
    <xf numFmtId="170" fontId="66" fillId="8" borderId="9" xfId="6" applyNumberFormat="1" applyFont="1" applyFill="1" applyBorder="1"/>
    <xf numFmtId="170" fontId="66" fillId="8" borderId="8" xfId="6" applyNumberFormat="1" applyFont="1" applyFill="1" applyBorder="1"/>
    <xf numFmtId="3" fontId="103" fillId="0" borderId="0" xfId="5" applyNumberFormat="1" applyFont="1" applyFill="1" applyBorder="1"/>
    <xf numFmtId="3" fontId="103" fillId="0" borderId="11" xfId="5" applyNumberFormat="1" applyFont="1" applyFill="1" applyBorder="1"/>
    <xf numFmtId="176" fontId="111" fillId="42" borderId="0" xfId="0" applyNumberFormat="1" applyFont="1" applyFill="1" applyAlignment="1">
      <alignment horizontal="right" vertical="center" wrapText="1"/>
    </xf>
    <xf numFmtId="3" fontId="47" fillId="0" borderId="0" xfId="0" applyNumberFormat="1" applyFont="1" applyAlignment="1">
      <alignment wrapText="1"/>
    </xf>
    <xf numFmtId="170" fontId="66" fillId="0" borderId="9" xfId="6" applyNumberFormat="1" applyFont="1" applyFill="1" applyBorder="1"/>
    <xf numFmtId="170" fontId="66" fillId="0" borderId="8" xfId="6" applyNumberFormat="1" applyFont="1" applyFill="1" applyBorder="1"/>
    <xf numFmtId="0" fontId="65" fillId="7" borderId="17" xfId="6" applyFont="1" applyFill="1" applyBorder="1" applyAlignment="1">
      <alignment wrapText="1"/>
    </xf>
    <xf numFmtId="3" fontId="73" fillId="0" borderId="11" xfId="83" applyNumberFormat="1" applyFont="1" applyFill="1" applyBorder="1" applyAlignment="1">
      <alignment horizontal="right"/>
    </xf>
    <xf numFmtId="0" fontId="103" fillId="0" borderId="4" xfId="0" applyFont="1" applyBorder="1"/>
    <xf numFmtId="0" fontId="113" fillId="0" borderId="0" xfId="0" applyFont="1"/>
    <xf numFmtId="0" fontId="103" fillId="0" borderId="0" xfId="5" applyFont="1" applyFill="1" applyBorder="1"/>
    <xf numFmtId="0" fontId="73" fillId="0" borderId="4" xfId="83" applyFont="1" applyFill="1" applyBorder="1" applyAlignment="1">
      <alignment wrapText="1"/>
    </xf>
    <xf numFmtId="0" fontId="73" fillId="0" borderId="4" xfId="83" applyFont="1" applyFill="1" applyBorder="1"/>
    <xf numFmtId="0" fontId="119" fillId="0" borderId="10" xfId="5" applyFont="1" applyFill="1" applyBorder="1"/>
    <xf numFmtId="0" fontId="110" fillId="0" borderId="0" xfId="0" applyFont="1"/>
    <xf numFmtId="0" fontId="103" fillId="0" borderId="4" xfId="5" applyFont="1" applyFill="1" applyBorder="1"/>
    <xf numFmtId="0" fontId="106" fillId="0" borderId="15" xfId="0" applyFont="1" applyBorder="1" applyAlignment="1">
      <alignment horizontal="center"/>
    </xf>
    <xf numFmtId="0" fontId="109" fillId="0" borderId="4" xfId="5" applyFont="1" applyFill="1" applyBorder="1"/>
    <xf numFmtId="0" fontId="106" fillId="0" borderId="5" xfId="5" applyFont="1" applyFill="1" applyBorder="1"/>
    <xf numFmtId="0" fontId="103" fillId="0" borderId="9" xfId="5" applyFont="1" applyFill="1" applyBorder="1"/>
    <xf numFmtId="3" fontId="106" fillId="0" borderId="9" xfId="5" applyNumberFormat="1" applyFont="1" applyFill="1" applyBorder="1" applyAlignment="1">
      <alignment horizontal="right"/>
    </xf>
    <xf numFmtId="0" fontId="103" fillId="0" borderId="6" xfId="5" applyFont="1" applyFill="1" applyBorder="1"/>
    <xf numFmtId="0" fontId="103" fillId="0" borderId="12" xfId="5" applyFont="1" applyFill="1" applyBorder="1"/>
    <xf numFmtId="3" fontId="103" fillId="0" borderId="12" xfId="5" applyNumberFormat="1" applyFont="1" applyFill="1" applyBorder="1"/>
    <xf numFmtId="3" fontId="103" fillId="0" borderId="13" xfId="5" applyNumberFormat="1" applyFont="1" applyFill="1" applyBorder="1"/>
    <xf numFmtId="0" fontId="103" fillId="0" borderId="0" xfId="5" applyFont="1" applyFill="1"/>
    <xf numFmtId="3" fontId="103" fillId="0" borderId="0" xfId="5" applyNumberFormat="1" applyFont="1" applyFill="1"/>
    <xf numFmtId="0" fontId="107" fillId="0" borderId="0" xfId="0" applyFont="1" applyAlignment="1">
      <alignment horizontal="center"/>
    </xf>
    <xf numFmtId="0" fontId="109" fillId="0" borderId="0" xfId="5" applyFont="1" applyFill="1" applyBorder="1"/>
    <xf numFmtId="3" fontId="109" fillId="0" borderId="0" xfId="5" applyNumberFormat="1" applyFont="1" applyFill="1" applyBorder="1"/>
    <xf numFmtId="176" fontId="111" fillId="42" borderId="29" xfId="0" applyNumberFormat="1" applyFont="1" applyFill="1" applyBorder="1" applyAlignment="1">
      <alignment horizontal="right" vertical="center" wrapText="1"/>
    </xf>
    <xf numFmtId="0" fontId="123" fillId="0" borderId="0" xfId="0" applyFont="1"/>
    <xf numFmtId="0" fontId="103" fillId="0" borderId="0" xfId="5" quotePrefix="1" applyFont="1" applyFill="1" applyBorder="1"/>
    <xf numFmtId="0" fontId="65" fillId="0" borderId="0" xfId="0" quotePrefix="1" applyFont="1"/>
    <xf numFmtId="167" fontId="65" fillId="0" borderId="0" xfId="0" quotePrefix="1" applyNumberFormat="1" applyFont="1"/>
    <xf numFmtId="49" fontId="111" fillId="44" borderId="29" xfId="0" applyNumberFormat="1" applyFont="1" applyFill="1" applyBorder="1" applyAlignment="1">
      <alignment horizontal="left" vertic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65" fillId="0" borderId="4" xfId="0" applyFont="1" applyBorder="1"/>
    <xf numFmtId="176" fontId="124" fillId="42" borderId="30" xfId="0" applyNumberFormat="1" applyFont="1" applyFill="1" applyBorder="1" applyAlignment="1">
      <alignment horizontal="right" vertical="center" wrapText="1"/>
    </xf>
    <xf numFmtId="0" fontId="0" fillId="0" borderId="13" xfId="0" applyBorder="1"/>
    <xf numFmtId="174" fontId="66" fillId="43" borderId="6" xfId="7" applyNumberFormat="1" applyFont="1" applyFill="1" applyBorder="1"/>
    <xf numFmtId="174" fontId="66" fillId="43" borderId="12" xfId="7" applyNumberFormat="1" applyFont="1" applyFill="1" applyBorder="1"/>
    <xf numFmtId="170" fontId="64" fillId="0" borderId="0" xfId="0" applyNumberFormat="1" applyFont="1"/>
    <xf numFmtId="170" fontId="64" fillId="0" borderId="11" xfId="0" applyNumberFormat="1" applyFont="1" applyBorder="1"/>
    <xf numFmtId="171" fontId="72" fillId="41" borderId="17" xfId="6" applyNumberFormat="1" applyFont="1" applyFill="1" applyBorder="1"/>
    <xf numFmtId="0" fontId="103" fillId="0" borderId="0" xfId="5" applyFont="1" applyFill="1" applyBorder="1" applyAlignment="1">
      <alignment horizontal="center" vertical="top"/>
    </xf>
    <xf numFmtId="3" fontId="103" fillId="0" borderId="0" xfId="5" applyNumberFormat="1" applyFont="1" applyFill="1" applyBorder="1" applyAlignment="1">
      <alignment vertical="top"/>
    </xf>
    <xf numFmtId="3" fontId="103" fillId="0" borderId="11" xfId="5" applyNumberFormat="1" applyFont="1" applyFill="1" applyBorder="1" applyAlignment="1">
      <alignment vertical="top"/>
    </xf>
    <xf numFmtId="178" fontId="46" fillId="5" borderId="17" xfId="6" applyNumberFormat="1" applyFont="1" applyFill="1" applyBorder="1"/>
    <xf numFmtId="0" fontId="65" fillId="5" borderId="4" xfId="6" quotePrefix="1" applyFont="1" applyFill="1" applyBorder="1"/>
    <xf numFmtId="167" fontId="66" fillId="0" borderId="17" xfId="6" applyNumberFormat="1" applyFont="1" applyFill="1" applyBorder="1"/>
    <xf numFmtId="170" fontId="46" fillId="5" borderId="15" xfId="6" applyNumberFormat="1" applyFont="1" applyFill="1" applyBorder="1"/>
    <xf numFmtId="167" fontId="105" fillId="0" borderId="0" xfId="5" applyNumberFormat="1" applyFont="1" applyBorder="1"/>
    <xf numFmtId="0" fontId="0" fillId="0" borderId="4" xfId="0" applyBorder="1"/>
    <xf numFmtId="167" fontId="61" fillId="0" borderId="5" xfId="6" applyNumberFormat="1" applyFont="1" applyBorder="1" applyAlignment="1">
      <alignment horizontal="center"/>
    </xf>
    <xf numFmtId="167" fontId="47" fillId="0" borderId="8" xfId="5" applyNumberFormat="1" applyFont="1" applyBorder="1"/>
    <xf numFmtId="0" fontId="47" fillId="4" borderId="5" xfId="0" applyFont="1" applyFill="1" applyBorder="1"/>
    <xf numFmtId="167" fontId="47" fillId="0" borderId="0" xfId="6" applyNumberFormat="1" applyFill="1" applyBorder="1"/>
    <xf numFmtId="167" fontId="47" fillId="0" borderId="11" xfId="6" applyNumberFormat="1" applyFill="1" applyBorder="1"/>
    <xf numFmtId="167" fontId="51" fillId="4" borderId="8" xfId="6" applyNumberFormat="1" applyFont="1" applyFill="1" applyBorder="1"/>
    <xf numFmtId="167" fontId="47" fillId="0" borderId="8" xfId="6" applyNumberFormat="1" applyBorder="1"/>
    <xf numFmtId="167" fontId="47" fillId="0" borderId="9" xfId="6" applyNumberFormat="1" applyBorder="1"/>
    <xf numFmtId="167" fontId="47" fillId="0" borderId="5" xfId="6" applyNumberFormat="1" applyBorder="1"/>
    <xf numFmtId="178" fontId="66" fillId="0" borderId="0" xfId="5" applyNumberFormat="1" applyFont="1" applyBorder="1"/>
    <xf numFmtId="0" fontId="47" fillId="4" borderId="0" xfId="6" applyFill="1" applyBorder="1"/>
    <xf numFmtId="0" fontId="0" fillId="7" borderId="9" xfId="0" applyFill="1" applyBorder="1"/>
    <xf numFmtId="16" fontId="0" fillId="0" borderId="0" xfId="0" applyNumberFormat="1"/>
    <xf numFmtId="14" fontId="47" fillId="0" borderId="0" xfId="0" applyNumberFormat="1" applyFont="1"/>
    <xf numFmtId="167" fontId="130" fillId="0" borderId="32" xfId="5" applyNumberFormat="1" applyFont="1" applyBorder="1"/>
    <xf numFmtId="0" fontId="109" fillId="0" borderId="4" xfId="5" quotePrefix="1" applyFont="1" applyFill="1" applyBorder="1"/>
    <xf numFmtId="0" fontId="103" fillId="0" borderId="0" xfId="5" applyFont="1" applyFill="1" applyBorder="1" applyAlignment="1">
      <alignment horizontal="right"/>
    </xf>
    <xf numFmtId="3" fontId="103" fillId="0" borderId="0" xfId="5" applyNumberFormat="1" applyFont="1" applyFill="1" applyBorder="1" applyAlignment="1">
      <alignment horizontal="right"/>
    </xf>
    <xf numFmtId="3" fontId="103" fillId="0" borderId="11" xfId="5" applyNumberFormat="1" applyFont="1" applyFill="1" applyBorder="1" applyAlignment="1">
      <alignment horizontal="right"/>
    </xf>
    <xf numFmtId="37" fontId="47" fillId="0" borderId="0" xfId="0" quotePrefix="1" applyNumberFormat="1" applyFont="1"/>
    <xf numFmtId="0" fontId="127" fillId="0" borderId="4" xfId="0" applyFont="1" applyBorder="1" applyAlignment="1">
      <alignment horizontal="center"/>
    </xf>
    <xf numFmtId="0" fontId="101" fillId="0" borderId="4" xfId="0" applyFont="1" applyBorder="1" applyAlignment="1">
      <alignment horizontal="center"/>
    </xf>
    <xf numFmtId="169" fontId="0" fillId="0" borderId="0" xfId="194" applyNumberFormat="1" applyFont="1"/>
    <xf numFmtId="0" fontId="0" fillId="0" borderId="0" xfId="0" applyAlignment="1">
      <alignment horizontal="left" indent="1"/>
    </xf>
    <xf numFmtId="169" fontId="0" fillId="0" borderId="0" xfId="0" applyNumberFormat="1"/>
    <xf numFmtId="0" fontId="133" fillId="0" borderId="0" xfId="0" applyFont="1"/>
    <xf numFmtId="0" fontId="106" fillId="0" borderId="7" xfId="5" applyFont="1" applyFill="1" applyBorder="1"/>
    <xf numFmtId="0" fontId="106" fillId="0" borderId="6" xfId="5" applyFont="1" applyFill="1" applyBorder="1"/>
    <xf numFmtId="0" fontId="119" fillId="0" borderId="12" xfId="5" applyFont="1" applyFill="1" applyBorder="1"/>
    <xf numFmtId="0" fontId="46" fillId="6" borderId="0" xfId="0" applyFont="1" applyFill="1"/>
    <xf numFmtId="10" fontId="0" fillId="0" borderId="0" xfId="194" applyNumberFormat="1" applyFont="1"/>
    <xf numFmtId="0" fontId="0" fillId="0" borderId="0" xfId="0" applyAlignment="1">
      <alignment wrapText="1"/>
    </xf>
    <xf numFmtId="0" fontId="0" fillId="0" borderId="0" xfId="0" pivotButton="1" applyAlignment="1">
      <alignment wrapText="1"/>
    </xf>
    <xf numFmtId="0" fontId="101" fillId="0" borderId="11" xfId="0" applyFont="1" applyBorder="1"/>
    <xf numFmtId="0" fontId="59" fillId="0" borderId="3" xfId="5" applyFont="1" applyFill="1" applyBorder="1"/>
    <xf numFmtId="0" fontId="53" fillId="0" borderId="0" xfId="5" applyFont="1" applyFill="1"/>
    <xf numFmtId="0" fontId="54" fillId="0" borderId="0" xfId="5" applyFont="1" applyFill="1"/>
    <xf numFmtId="0" fontId="55" fillId="0" borderId="0" xfId="5" applyFont="1" applyFill="1"/>
    <xf numFmtId="0" fontId="96" fillId="0" borderId="7" xfId="5" applyFont="1" applyFill="1" applyBorder="1"/>
    <xf numFmtId="0" fontId="97" fillId="0" borderId="10" xfId="5" applyFont="1" applyFill="1" applyBorder="1"/>
    <xf numFmtId="0" fontId="97" fillId="0" borderId="10" xfId="5" applyFont="1" applyFill="1" applyBorder="1" applyAlignment="1">
      <alignment horizontal="right"/>
    </xf>
    <xf numFmtId="0" fontId="98" fillId="0" borderId="14" xfId="0" applyFont="1" applyBorder="1"/>
    <xf numFmtId="0" fontId="100" fillId="0" borderId="10" xfId="5" applyFont="1" applyFill="1" applyBorder="1"/>
    <xf numFmtId="3" fontId="97" fillId="0" borderId="10" xfId="5" applyNumberFormat="1" applyFont="1" applyFill="1" applyBorder="1" applyAlignment="1">
      <alignment horizontal="right"/>
    </xf>
    <xf numFmtId="0" fontId="98" fillId="0" borderId="16" xfId="0" applyFont="1" applyBorder="1" applyAlignment="1">
      <alignment horizontal="left"/>
    </xf>
    <xf numFmtId="0" fontId="97" fillId="0" borderId="7" xfId="5" applyFont="1" applyFill="1" applyBorder="1"/>
    <xf numFmtId="0" fontId="98" fillId="0" borderId="7" xfId="0" applyFont="1" applyBorder="1"/>
    <xf numFmtId="0" fontId="98" fillId="0" borderId="11" xfId="0" applyFont="1" applyBorder="1"/>
    <xf numFmtId="0" fontId="100" fillId="0" borderId="7" xfId="5" applyFont="1" applyFill="1" applyBorder="1"/>
    <xf numFmtId="3" fontId="100" fillId="0" borderId="10" xfId="5" applyNumberFormat="1" applyFont="1" applyFill="1" applyBorder="1" applyAlignment="1">
      <alignment horizontal="right"/>
    </xf>
    <xf numFmtId="0" fontId="101" fillId="0" borderId="7" xfId="0" applyFont="1" applyBorder="1"/>
    <xf numFmtId="3" fontId="101" fillId="0" borderId="11" xfId="0" applyNumberFormat="1" applyFont="1" applyBorder="1"/>
    <xf numFmtId="0" fontId="75" fillId="0" borderId="11" xfId="0" applyFont="1" applyBorder="1"/>
    <xf numFmtId="0" fontId="101" fillId="0" borderId="0" xfId="0" applyFont="1"/>
    <xf numFmtId="0" fontId="103" fillId="0" borderId="4" xfId="5" applyFont="1" applyFill="1" applyBorder="1" applyAlignment="1">
      <alignment horizontal="left" vertical="top"/>
    </xf>
    <xf numFmtId="0" fontId="47" fillId="7" borderId="5" xfId="0" applyFont="1" applyFill="1" applyBorder="1"/>
    <xf numFmtId="0" fontId="129" fillId="0" borderId="5" xfId="0" applyFont="1" applyBorder="1" applyAlignment="1">
      <alignment vertical="center"/>
    </xf>
    <xf numFmtId="0" fontId="0" fillId="9" borderId="0" xfId="0" applyFill="1"/>
    <xf numFmtId="167" fontId="113" fillId="0" borderId="0" xfId="0" applyNumberFormat="1" applyFont="1"/>
    <xf numFmtId="167" fontId="47" fillId="0" borderId="7" xfId="6" applyNumberFormat="1" applyBorder="1"/>
    <xf numFmtId="167" fontId="47" fillId="0" borderId="10" xfId="6" applyNumberFormat="1" applyBorder="1"/>
    <xf numFmtId="167" fontId="47" fillId="0" borderId="18" xfId="5" applyNumberFormat="1" applyFont="1" applyBorder="1"/>
    <xf numFmtId="167" fontId="47" fillId="0" borderId="6" xfId="6" applyNumberFormat="1" applyBorder="1"/>
    <xf numFmtId="167" fontId="47" fillId="4" borderId="7" xfId="6" applyNumberFormat="1" applyFill="1" applyBorder="1"/>
    <xf numFmtId="167" fontId="47" fillId="0" borderId="4" xfId="6" applyNumberFormat="1" applyBorder="1"/>
    <xf numFmtId="167" fontId="47" fillId="0" borderId="11" xfId="6" applyNumberFormat="1" applyBorder="1"/>
    <xf numFmtId="167" fontId="47" fillId="4" borderId="6" xfId="6" applyNumberFormat="1" applyFill="1" applyBorder="1"/>
    <xf numFmtId="3" fontId="46" fillId="0" borderId="0" xfId="0" applyNumberFormat="1" applyFont="1"/>
    <xf numFmtId="0" fontId="0" fillId="0" borderId="0" xfId="0" applyAlignment="1">
      <alignment vertical="top"/>
    </xf>
    <xf numFmtId="0" fontId="103" fillId="0" borderId="0" xfId="5" applyFont="1" applyFill="1" applyBorder="1" applyAlignment="1">
      <alignment vertical="top" wrapText="1"/>
    </xf>
    <xf numFmtId="0" fontId="0" fillId="0" borderId="0" xfId="0" pivotButton="1"/>
    <xf numFmtId="0" fontId="46" fillId="0" borderId="0" xfId="0" applyFont="1" applyAlignment="1">
      <alignment horizontal="right"/>
    </xf>
    <xf numFmtId="0" fontId="46" fillId="0" borderId="0" xfId="0" applyFont="1" applyAlignment="1">
      <alignment wrapText="1"/>
    </xf>
    <xf numFmtId="10" fontId="46" fillId="0" borderId="0" xfId="194" applyNumberFormat="1" applyFont="1"/>
    <xf numFmtId="9" fontId="46" fillId="0" borderId="0" xfId="194" applyFont="1"/>
    <xf numFmtId="0" fontId="98" fillId="0" borderId="14" xfId="0" applyFont="1" applyBorder="1" applyAlignment="1">
      <alignment horizontal="center"/>
    </xf>
    <xf numFmtId="0" fontId="101" fillId="0" borderId="14" xfId="0" applyFont="1" applyBorder="1" applyAlignment="1">
      <alignment horizontal="center"/>
    </xf>
    <xf numFmtId="0" fontId="135" fillId="0" borderId="4" xfId="5" applyFont="1" applyFill="1" applyBorder="1" applyAlignment="1">
      <alignment horizontal="left"/>
    </xf>
    <xf numFmtId="0" fontId="135" fillId="0" borderId="0" xfId="5" applyFont="1" applyFill="1" applyBorder="1"/>
    <xf numFmtId="0" fontId="54" fillId="0" borderId="0" xfId="83" applyFont="1" applyFill="1"/>
    <xf numFmtId="0" fontId="57" fillId="0" borderId="0" xfId="83" applyFont="1" applyFill="1"/>
    <xf numFmtId="0" fontId="56" fillId="0" borderId="14" xfId="83" applyFont="1" applyFill="1" applyBorder="1" applyAlignment="1">
      <alignment horizontal="center"/>
    </xf>
    <xf numFmtId="0" fontId="9" fillId="0" borderId="4" xfId="83" applyFont="1" applyFill="1" applyBorder="1" applyAlignment="1">
      <alignment wrapText="1"/>
    </xf>
    <xf numFmtId="0" fontId="128" fillId="0" borderId="0" xfId="5" applyFont="1" applyFill="1" applyBorder="1"/>
    <xf numFmtId="0" fontId="96" fillId="0" borderId="10" xfId="5" applyFont="1" applyFill="1" applyBorder="1"/>
    <xf numFmtId="0" fontId="98" fillId="0" borderId="0" xfId="0" applyFont="1" applyAlignment="1">
      <alignment horizontal="center"/>
    </xf>
    <xf numFmtId="0" fontId="102" fillId="0" borderId="7" xfId="5" applyFont="1" applyFill="1" applyBorder="1"/>
    <xf numFmtId="0" fontId="102" fillId="0" borderId="10" xfId="5" applyFont="1" applyFill="1" applyBorder="1"/>
    <xf numFmtId="0" fontId="102" fillId="0" borderId="4" xfId="5" applyFont="1" applyFill="1" applyBorder="1"/>
    <xf numFmtId="0" fontId="102" fillId="0" borderId="0" xfId="5" applyFont="1" applyFill="1" applyBorder="1"/>
    <xf numFmtId="3" fontId="97" fillId="0" borderId="0" xfId="5" applyNumberFormat="1" applyFont="1" applyFill="1" applyBorder="1" applyAlignment="1">
      <alignment horizontal="right"/>
    </xf>
    <xf numFmtId="0" fontId="99" fillId="0" borderId="5" xfId="5" applyFont="1" applyFill="1" applyBorder="1"/>
    <xf numFmtId="0" fontId="99" fillId="0" borderId="9" xfId="5" applyFont="1" applyFill="1" applyBorder="1"/>
    <xf numFmtId="3" fontId="97" fillId="0" borderId="9" xfId="5" applyNumberFormat="1" applyFont="1" applyFill="1" applyBorder="1" applyAlignment="1">
      <alignment horizontal="right"/>
    </xf>
    <xf numFmtId="0" fontId="98" fillId="0" borderId="28" xfId="0" applyFont="1" applyBorder="1" applyAlignment="1">
      <alignment horizontal="center"/>
    </xf>
    <xf numFmtId="0" fontId="98" fillId="0" borderId="15" xfId="0" applyFont="1" applyBorder="1" applyAlignment="1">
      <alignment horizontal="center"/>
    </xf>
    <xf numFmtId="0" fontId="99" fillId="0" borderId="0" xfId="5" applyFont="1" applyFill="1" applyBorder="1"/>
    <xf numFmtId="0" fontId="137" fillId="0" borderId="0" xfId="5" applyFont="1" applyFill="1" applyBorder="1"/>
    <xf numFmtId="175" fontId="54" fillId="0" borderId="4" xfId="5" applyNumberFormat="1" applyFont="1" applyFill="1" applyBorder="1"/>
    <xf numFmtId="175" fontId="54" fillId="0" borderId="0" xfId="5" applyNumberFormat="1" applyFont="1" applyFill="1" applyBorder="1"/>
    <xf numFmtId="175" fontId="54" fillId="0" borderId="11" xfId="5" applyNumberFormat="1" applyFont="1" applyFill="1" applyBorder="1"/>
    <xf numFmtId="0" fontId="112" fillId="0" borderId="0" xfId="0" applyFont="1" applyAlignment="1">
      <alignment horizontal="center"/>
    </xf>
    <xf numFmtId="0" fontId="50" fillId="0" borderId="0" xfId="5" applyFont="1" applyFill="1" applyAlignment="1"/>
    <xf numFmtId="0" fontId="66" fillId="0" borderId="0" xfId="5" applyFont="1" applyFill="1" applyAlignment="1"/>
    <xf numFmtId="0" fontId="103" fillId="0" borderId="0" xfId="83" applyFont="1" applyFill="1" applyBorder="1"/>
    <xf numFmtId="0" fontId="95" fillId="0" borderId="0" xfId="0" applyFont="1"/>
    <xf numFmtId="0" fontId="74" fillId="0" borderId="0" xfId="5" applyFont="1" applyFill="1"/>
    <xf numFmtId="3" fontId="74" fillId="0" borderId="0" xfId="5" applyNumberFormat="1" applyFont="1" applyFill="1"/>
    <xf numFmtId="3" fontId="54" fillId="0" borderId="0" xfId="5" applyNumberFormat="1" applyFont="1" applyFill="1"/>
    <xf numFmtId="3" fontId="97" fillId="0" borderId="18" xfId="5" applyNumberFormat="1" applyFont="1" applyFill="1" applyBorder="1" applyAlignment="1">
      <alignment horizontal="right"/>
    </xf>
    <xf numFmtId="3" fontId="100" fillId="0" borderId="18" xfId="5" applyNumberFormat="1" applyFont="1" applyFill="1" applyBorder="1" applyAlignment="1">
      <alignment horizontal="right"/>
    </xf>
    <xf numFmtId="0" fontId="55" fillId="0" borderId="7" xfId="5" applyFont="1" applyFill="1" applyBorder="1"/>
    <xf numFmtId="0" fontId="55" fillId="0" borderId="10" xfId="5" applyFont="1" applyFill="1" applyBorder="1"/>
    <xf numFmtId="0" fontId="54" fillId="0" borderId="10" xfId="5" applyFont="1" applyFill="1" applyBorder="1"/>
    <xf numFmtId="0" fontId="54" fillId="0" borderId="18" xfId="5" applyFont="1" applyFill="1" applyBorder="1"/>
    <xf numFmtId="0" fontId="97" fillId="0" borderId="18" xfId="5" applyFont="1" applyFill="1" applyBorder="1" applyAlignment="1">
      <alignment horizontal="right"/>
    </xf>
    <xf numFmtId="3" fontId="97" fillId="0" borderId="11" xfId="5" applyNumberFormat="1" applyFont="1" applyFill="1" applyBorder="1" applyAlignment="1">
      <alignment horizontal="right"/>
    </xf>
    <xf numFmtId="3" fontId="97" fillId="0" borderId="8" xfId="5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7" fillId="0" borderId="0" xfId="5" applyFont="1" applyFill="1"/>
    <xf numFmtId="0" fontId="55" fillId="0" borderId="5" xfId="5" applyFont="1" applyFill="1" applyBorder="1"/>
    <xf numFmtId="0" fontId="54" fillId="0" borderId="9" xfId="5" applyFont="1" applyFill="1" applyBorder="1"/>
    <xf numFmtId="0" fontId="56" fillId="0" borderId="9" xfId="5" applyFont="1" applyFill="1" applyBorder="1" applyAlignment="1">
      <alignment horizontal="right"/>
    </xf>
    <xf numFmtId="0" fontId="56" fillId="0" borderId="8" xfId="5" applyFont="1" applyFill="1" applyBorder="1" applyAlignment="1">
      <alignment horizontal="right"/>
    </xf>
    <xf numFmtId="0" fontId="73" fillId="0" borderId="9" xfId="5" applyFont="1" applyFill="1" applyBorder="1"/>
    <xf numFmtId="3" fontId="74" fillId="0" borderId="9" xfId="5" applyNumberFormat="1" applyFont="1" applyFill="1" applyBorder="1" applyAlignment="1">
      <alignment horizontal="right"/>
    </xf>
    <xf numFmtId="3" fontId="74" fillId="0" borderId="8" xfId="5" applyNumberFormat="1" applyFont="1" applyFill="1" applyBorder="1" applyAlignment="1">
      <alignment horizontal="right"/>
    </xf>
    <xf numFmtId="0" fontId="73" fillId="0" borderId="0" xfId="83" applyFont="1" applyFill="1" applyBorder="1"/>
    <xf numFmtId="0" fontId="73" fillId="0" borderId="0" xfId="83" applyFont="1" applyFill="1" applyBorder="1" applyAlignment="1">
      <alignment horizontal="right"/>
    </xf>
    <xf numFmtId="0" fontId="74" fillId="0" borderId="4" xfId="83" applyFont="1" applyFill="1" applyBorder="1"/>
    <xf numFmtId="0" fontId="76" fillId="0" borderId="0" xfId="83" applyFont="1" applyFill="1" applyBorder="1" applyAlignment="1">
      <alignment horizontal="right"/>
    </xf>
    <xf numFmtId="3" fontId="73" fillId="0" borderId="12" xfId="0" applyNumberFormat="1" applyFont="1" applyBorder="1" applyAlignment="1">
      <alignment horizontal="right"/>
    </xf>
    <xf numFmtId="3" fontId="73" fillId="0" borderId="12" xfId="0" applyNumberFormat="1" applyFont="1" applyBorder="1"/>
    <xf numFmtId="3" fontId="73" fillId="0" borderId="13" xfId="0" applyNumberFormat="1" applyFont="1" applyBorder="1"/>
    <xf numFmtId="0" fontId="63" fillId="0" borderId="5" xfId="5" applyFont="1" applyFill="1" applyBorder="1"/>
    <xf numFmtId="0" fontId="63" fillId="0" borderId="9" xfId="5" applyFont="1" applyFill="1" applyBorder="1" applyAlignment="1">
      <alignment horizontal="right"/>
    </xf>
    <xf numFmtId="3" fontId="63" fillId="0" borderId="9" xfId="5" applyNumberFormat="1" applyFont="1" applyFill="1" applyBorder="1" applyAlignment="1">
      <alignment horizontal="right"/>
    </xf>
    <xf numFmtId="3" fontId="63" fillId="0" borderId="8" xfId="5" applyNumberFormat="1" applyFont="1" applyFill="1" applyBorder="1" applyAlignment="1">
      <alignment horizontal="right"/>
    </xf>
    <xf numFmtId="0" fontId="56" fillId="0" borderId="4" xfId="5" applyFont="1" applyFill="1" applyBorder="1"/>
    <xf numFmtId="0" fontId="56" fillId="0" borderId="0" xfId="5" applyFont="1" applyFill="1" applyBorder="1"/>
    <xf numFmtId="0" fontId="56" fillId="0" borderId="0" xfId="5" applyFont="1" applyFill="1" applyBorder="1" applyAlignment="1">
      <alignment horizontal="right"/>
    </xf>
    <xf numFmtId="3" fontId="56" fillId="0" borderId="0" xfId="5" applyNumberFormat="1" applyFont="1" applyFill="1" applyBorder="1" applyAlignment="1">
      <alignment horizontal="right"/>
    </xf>
    <xf numFmtId="3" fontId="56" fillId="0" borderId="13" xfId="5" applyNumberFormat="1" applyFont="1" applyFill="1" applyBorder="1" applyAlignment="1">
      <alignment horizontal="right"/>
    </xf>
    <xf numFmtId="0" fontId="63" fillId="0" borderId="5" xfId="0" applyFont="1" applyBorder="1"/>
    <xf numFmtId="37" fontId="0" fillId="0" borderId="0" xfId="0" applyNumberFormat="1"/>
    <xf numFmtId="0" fontId="56" fillId="0" borderId="7" xfId="0" applyFont="1" applyBorder="1"/>
    <xf numFmtId="0" fontId="54" fillId="0" borderId="10" xfId="5" applyFont="1" applyFill="1" applyBorder="1" applyAlignment="1">
      <alignment horizontal="right"/>
    </xf>
    <xf numFmtId="3" fontId="54" fillId="0" borderId="10" xfId="5" applyNumberFormat="1" applyFont="1" applyFill="1" applyBorder="1" applyAlignment="1">
      <alignment horizontal="right"/>
    </xf>
    <xf numFmtId="3" fontId="54" fillId="0" borderId="18" xfId="5" applyNumberFormat="1" applyFont="1" applyFill="1" applyBorder="1" applyAlignment="1">
      <alignment horizontal="right"/>
    </xf>
    <xf numFmtId="0" fontId="73" fillId="0" borderId="12" xfId="83" applyFont="1" applyFill="1" applyBorder="1" applyAlignment="1">
      <alignment horizontal="right"/>
    </xf>
    <xf numFmtId="3" fontId="73" fillId="0" borderId="12" xfId="5" applyNumberFormat="1" applyFont="1" applyFill="1" applyBorder="1" applyAlignment="1">
      <alignment horizontal="right"/>
    </xf>
    <xf numFmtId="3" fontId="73" fillId="0" borderId="13" xfId="5" applyNumberFormat="1" applyFont="1" applyFill="1" applyBorder="1" applyAlignment="1">
      <alignment horizontal="right"/>
    </xf>
    <xf numFmtId="0" fontId="74" fillId="0" borderId="7" xfId="0" applyFont="1" applyBorder="1"/>
    <xf numFmtId="0" fontId="73" fillId="0" borderId="10" xfId="5" applyFont="1" applyFill="1" applyBorder="1"/>
    <xf numFmtId="0" fontId="73" fillId="0" borderId="10" xfId="5" applyFont="1" applyFill="1" applyBorder="1" applyAlignment="1">
      <alignment horizontal="right"/>
    </xf>
    <xf numFmtId="3" fontId="73" fillId="0" borderId="10" xfId="5" applyNumberFormat="1" applyFont="1" applyFill="1" applyBorder="1" applyAlignment="1">
      <alignment horizontal="right"/>
    </xf>
    <xf numFmtId="3" fontId="73" fillId="0" borderId="18" xfId="5" applyNumberFormat="1" applyFont="1" applyFill="1" applyBorder="1" applyAlignment="1">
      <alignment horizontal="right"/>
    </xf>
    <xf numFmtId="0" fontId="54" fillId="0" borderId="0" xfId="5" applyFont="1" applyFill="1" applyBorder="1"/>
    <xf numFmtId="0" fontId="54" fillId="0" borderId="0" xfId="5" applyFont="1" applyFill="1" applyBorder="1" applyAlignment="1">
      <alignment horizontal="right"/>
    </xf>
    <xf numFmtId="3" fontId="54" fillId="0" borderId="0" xfId="5" applyNumberFormat="1" applyFont="1" applyFill="1" applyBorder="1" applyAlignment="1">
      <alignment horizontal="right"/>
    </xf>
    <xf numFmtId="3" fontId="54" fillId="0" borderId="11" xfId="5" applyNumberFormat="1" applyFont="1" applyFill="1" applyBorder="1" applyAlignment="1">
      <alignment horizontal="right"/>
    </xf>
    <xf numFmtId="37" fontId="47" fillId="0" borderId="0" xfId="0" applyNumberFormat="1" applyFont="1"/>
    <xf numFmtId="0" fontId="73" fillId="0" borderId="12" xfId="5" applyFont="1" applyFill="1" applyBorder="1"/>
    <xf numFmtId="0" fontId="73" fillId="0" borderId="12" xfId="5" applyFont="1" applyFill="1" applyBorder="1" applyAlignment="1">
      <alignment horizontal="right"/>
    </xf>
    <xf numFmtId="3" fontId="103" fillId="0" borderId="0" xfId="83" applyNumberFormat="1" applyFont="1" applyFill="1" applyBorder="1" applyAlignment="1">
      <alignment horizontal="right"/>
    </xf>
    <xf numFmtId="0" fontId="74" fillId="0" borderId="5" xfId="0" applyFont="1" applyBorder="1"/>
    <xf numFmtId="0" fontId="74" fillId="0" borderId="9" xfId="5" applyFont="1" applyFill="1" applyBorder="1" applyAlignment="1">
      <alignment horizontal="right"/>
    </xf>
    <xf numFmtId="0" fontId="63" fillId="0" borderId="4" xfId="0" applyFont="1" applyBorder="1"/>
    <xf numFmtId="0" fontId="103" fillId="0" borderId="10" xfId="5" applyFont="1" applyFill="1" applyBorder="1"/>
    <xf numFmtId="0" fontId="103" fillId="0" borderId="10" xfId="5" applyFont="1" applyFill="1" applyBorder="1" applyAlignment="1">
      <alignment horizontal="right"/>
    </xf>
    <xf numFmtId="3" fontId="103" fillId="0" borderId="10" xfId="5" applyNumberFormat="1" applyFont="1" applyFill="1" applyBorder="1" applyAlignment="1">
      <alignment horizontal="right"/>
    </xf>
    <xf numFmtId="3" fontId="103" fillId="0" borderId="18" xfId="5" applyNumberFormat="1" applyFont="1" applyFill="1" applyBorder="1" applyAlignment="1">
      <alignment horizontal="right"/>
    </xf>
    <xf numFmtId="49" fontId="103" fillId="0" borderId="0" xfId="0" applyNumberFormat="1" applyFont="1" applyAlignment="1">
      <alignment horizontal="left" vertical="top"/>
    </xf>
    <xf numFmtId="0" fontId="103" fillId="0" borderId="6" xfId="0" applyFont="1" applyBorder="1"/>
    <xf numFmtId="0" fontId="103" fillId="0" borderId="12" xfId="5" applyFont="1" applyFill="1" applyBorder="1" applyAlignment="1">
      <alignment horizontal="right"/>
    </xf>
    <xf numFmtId="3" fontId="103" fillId="0" borderId="12" xfId="5" applyNumberFormat="1" applyFont="1" applyFill="1" applyBorder="1" applyAlignment="1">
      <alignment horizontal="right"/>
    </xf>
    <xf numFmtId="3" fontId="103" fillId="0" borderId="13" xfId="5" applyNumberFormat="1" applyFont="1" applyFill="1" applyBorder="1" applyAlignment="1">
      <alignment horizontal="right"/>
    </xf>
    <xf numFmtId="0" fontId="53" fillId="0" borderId="9" xfId="5" applyFont="1" applyFill="1" applyBorder="1" applyAlignment="1">
      <alignment horizontal="right"/>
    </xf>
    <xf numFmtId="3" fontId="53" fillId="0" borderId="9" xfId="5" applyNumberFormat="1" applyFont="1" applyFill="1" applyBorder="1" applyAlignment="1">
      <alignment horizontal="right"/>
    </xf>
    <xf numFmtId="174" fontId="65" fillId="0" borderId="0" xfId="0" applyNumberFormat="1" applyFont="1"/>
    <xf numFmtId="0" fontId="65" fillId="0" borderId="4" xfId="6" applyFont="1" applyFill="1" applyBorder="1"/>
    <xf numFmtId="0" fontId="61" fillId="0" borderId="14" xfId="6" applyFont="1" applyFill="1" applyBorder="1"/>
    <xf numFmtId="0" fontId="47" fillId="0" borderId="17" xfId="6" applyFill="1" applyBorder="1" applyAlignment="1">
      <alignment horizontal="right" wrapText="1"/>
    </xf>
    <xf numFmtId="167" fontId="47" fillId="0" borderId="9" xfId="6" applyNumberFormat="1" applyFill="1" applyBorder="1"/>
    <xf numFmtId="167" fontId="47" fillId="0" borderId="8" xfId="6" applyNumberFormat="1" applyFill="1" applyBorder="1"/>
    <xf numFmtId="167" fontId="47" fillId="0" borderId="0" xfId="5" applyNumberFormat="1" applyFont="1" applyFill="1"/>
    <xf numFmtId="170" fontId="47" fillId="0" borderId="0" xfId="5" applyNumberFormat="1" applyFont="1" applyFill="1"/>
    <xf numFmtId="167" fontId="48" fillId="0" borderId="0" xfId="5" applyNumberFormat="1" applyFill="1"/>
    <xf numFmtId="0" fontId="127" fillId="0" borderId="15" xfId="0" applyFont="1" applyBorder="1" applyAlignment="1">
      <alignment horizontal="center"/>
    </xf>
    <xf numFmtId="0" fontId="138" fillId="0" borderId="0" xfId="5" applyFont="1" applyFill="1" applyBorder="1" applyAlignment="1">
      <alignment horizontal="left"/>
    </xf>
    <xf numFmtId="0" fontId="138" fillId="0" borderId="0" xfId="5" applyFont="1" applyFill="1" applyBorder="1"/>
    <xf numFmtId="49" fontId="73" fillId="0" borderId="31" xfId="0" applyNumberFormat="1" applyFont="1" applyBorder="1" applyAlignment="1">
      <alignment horizontal="left" vertical="top"/>
    </xf>
    <xf numFmtId="0" fontId="77" fillId="0" borderId="0" xfId="0" applyFont="1"/>
    <xf numFmtId="0" fontId="140" fillId="0" borderId="0" xfId="5" applyFont="1" applyFill="1" applyBorder="1"/>
    <xf numFmtId="0" fontId="74" fillId="0" borderId="0" xfId="83" applyFont="1" applyFill="1" applyBorder="1"/>
    <xf numFmtId="0" fontId="74" fillId="0" borderId="0" xfId="83" applyFont="1" applyFill="1" applyBorder="1" applyAlignment="1">
      <alignment horizontal="right"/>
    </xf>
    <xf numFmtId="3" fontId="74" fillId="0" borderId="0" xfId="83" applyNumberFormat="1" applyFont="1" applyFill="1" applyBorder="1" applyAlignment="1">
      <alignment horizontal="right"/>
    </xf>
    <xf numFmtId="3" fontId="74" fillId="0" borderId="11" xfId="83" applyNumberFormat="1" applyFont="1" applyFill="1" applyBorder="1" applyAlignment="1">
      <alignment horizontal="right"/>
    </xf>
    <xf numFmtId="0" fontId="73" fillId="0" borderId="0" xfId="83" applyFont="1" applyFill="1" applyBorder="1" applyAlignment="1">
      <alignment horizontal="center"/>
    </xf>
    <xf numFmtId="3" fontId="47" fillId="0" borderId="11" xfId="0" applyNumberFormat="1" applyFont="1" applyBorder="1"/>
    <xf numFmtId="0" fontId="76" fillId="0" borderId="0" xfId="83" applyFont="1" applyFill="1" applyBorder="1"/>
    <xf numFmtId="0" fontId="101" fillId="0" borderId="11" xfId="0" applyFont="1" applyBorder="1" applyAlignment="1">
      <alignment vertical="top"/>
    </xf>
    <xf numFmtId="170" fontId="46" fillId="0" borderId="15" xfId="6" applyNumberFormat="1" applyFont="1" applyFill="1" applyBorder="1"/>
    <xf numFmtId="4" fontId="47" fillId="43" borderId="0" xfId="0" applyNumberFormat="1" applyFont="1" applyFill="1"/>
    <xf numFmtId="4" fontId="47" fillId="43" borderId="0" xfId="7" applyNumberFormat="1" applyFill="1"/>
    <xf numFmtId="4" fontId="47" fillId="43" borderId="11" xfId="7" applyNumberFormat="1" applyFill="1" applyBorder="1"/>
    <xf numFmtId="4" fontId="47" fillId="43" borderId="11" xfId="5" applyNumberFormat="1" applyFont="1" applyFill="1" applyBorder="1"/>
    <xf numFmtId="0" fontId="141" fillId="0" borderId="0" xfId="83" applyFont="1" applyBorder="1"/>
    <xf numFmtId="3" fontId="92" fillId="0" borderId="11" xfId="83" applyNumberFormat="1" applyFont="1" applyFill="1" applyBorder="1" applyAlignment="1">
      <alignment horizontal="right"/>
    </xf>
    <xf numFmtId="0" fontId="0" fillId="0" borderId="12" xfId="0" applyBorder="1"/>
    <xf numFmtId="0" fontId="65" fillId="5" borderId="7" xfId="6" applyFont="1" applyFill="1" applyBorder="1"/>
    <xf numFmtId="0" fontId="73" fillId="0" borderId="0" xfId="0" applyFont="1" applyAlignment="1">
      <alignment vertical="top" wrapText="1"/>
    </xf>
    <xf numFmtId="0" fontId="56" fillId="0" borderId="0" xfId="5" applyFont="1" applyFill="1"/>
    <xf numFmtId="0" fontId="126" fillId="0" borderId="4" xfId="5" applyFont="1" applyFill="1" applyBorder="1"/>
    <xf numFmtId="0" fontId="127" fillId="0" borderId="0" xfId="5" applyFont="1" applyFill="1" applyBorder="1"/>
    <xf numFmtId="3" fontId="127" fillId="0" borderId="0" xfId="5" applyNumberFormat="1" applyFont="1" applyFill="1" applyBorder="1" applyAlignment="1">
      <alignment horizontal="right"/>
    </xf>
    <xf numFmtId="0" fontId="127" fillId="0" borderId="0" xfId="5" applyFont="1" applyFill="1" applyBorder="1" applyAlignment="1">
      <alignment vertical="top"/>
    </xf>
    <xf numFmtId="3" fontId="127" fillId="0" borderId="0" xfId="83" applyNumberFormat="1" applyFont="1" applyFill="1" applyBorder="1" applyAlignment="1">
      <alignment horizontal="right"/>
    </xf>
    <xf numFmtId="0" fontId="126" fillId="0" borderId="0" xfId="5" applyFont="1" applyFill="1" applyBorder="1"/>
    <xf numFmtId="0" fontId="127" fillId="0" borderId="4" xfId="5" applyFont="1" applyFill="1" applyBorder="1"/>
    <xf numFmtId="0" fontId="127" fillId="0" borderId="0" xfId="83" applyFont="1" applyFill="1" applyBorder="1" applyAlignment="1">
      <alignment horizontal="right"/>
    </xf>
    <xf numFmtId="0" fontId="127" fillId="0" borderId="4" xfId="0" applyFont="1" applyBorder="1" applyAlignment="1">
      <alignment horizontal="center" vertical="top"/>
    </xf>
    <xf numFmtId="0" fontId="146" fillId="0" borderId="0" xfId="0" applyFont="1"/>
    <xf numFmtId="0" fontId="77" fillId="0" borderId="0" xfId="0" applyFont="1" applyAlignment="1">
      <alignment vertical="top"/>
    </xf>
    <xf numFmtId="0" fontId="121" fillId="0" borderId="0" xfId="0" applyFont="1"/>
    <xf numFmtId="0" fontId="127" fillId="0" borderId="6" xfId="5" applyFont="1" applyFill="1" applyBorder="1"/>
    <xf numFmtId="0" fontId="127" fillId="0" borderId="12" xfId="5" applyFont="1" applyFill="1" applyBorder="1"/>
    <xf numFmtId="3" fontId="127" fillId="0" borderId="16" xfId="5" applyNumberFormat="1" applyFont="1" applyFill="1" applyBorder="1" applyAlignment="1">
      <alignment horizontal="right"/>
    </xf>
    <xf numFmtId="0" fontId="127" fillId="0" borderId="0" xfId="5" applyFont="1" applyFill="1" applyBorder="1" applyAlignment="1">
      <alignment horizontal="right"/>
    </xf>
    <xf numFmtId="167" fontId="103" fillId="0" borderId="12" xfId="5" applyNumberFormat="1" applyFont="1" applyFill="1" applyBorder="1"/>
    <xf numFmtId="49" fontId="103" fillId="0" borderId="0" xfId="5" applyNumberFormat="1" applyFont="1" applyFill="1" applyBorder="1" applyAlignment="1">
      <alignment horizontal="left" vertical="top"/>
    </xf>
    <xf numFmtId="0" fontId="147" fillId="0" borderId="0" xfId="0" applyFont="1"/>
    <xf numFmtId="0" fontId="108" fillId="0" borderId="0" xfId="5" applyFont="1" applyFill="1" applyBorder="1" applyAlignment="1">
      <alignment horizontal="right"/>
    </xf>
    <xf numFmtId="3" fontId="77" fillId="0" borderId="4" xfId="5" applyNumberFormat="1" applyFont="1" applyFill="1" applyBorder="1" applyAlignment="1">
      <alignment horizontal="left"/>
    </xf>
    <xf numFmtId="0" fontId="149" fillId="0" borderId="0" xfId="0" applyFont="1"/>
    <xf numFmtId="0" fontId="150" fillId="0" borderId="0" xfId="0" applyFont="1"/>
    <xf numFmtId="0" fontId="151" fillId="0" borderId="0" xfId="5" applyFont="1" applyFill="1" applyBorder="1"/>
    <xf numFmtId="0" fontId="152" fillId="0" borderId="0" xfId="0" applyFont="1"/>
    <xf numFmtId="175" fontId="150" fillId="0" borderId="0" xfId="0" applyNumberFormat="1" applyFont="1"/>
    <xf numFmtId="167" fontId="46" fillId="4" borderId="15" xfId="6" applyNumberFormat="1" applyFont="1" applyFill="1" applyBorder="1"/>
    <xf numFmtId="170" fontId="46" fillId="4" borderId="8" xfId="6" applyNumberFormat="1" applyFont="1" applyFill="1" applyBorder="1"/>
    <xf numFmtId="170" fontId="46" fillId="5" borderId="17" xfId="6" applyNumberFormat="1" applyFont="1" applyFill="1" applyBorder="1"/>
    <xf numFmtId="170" fontId="46" fillId="4" borderId="15" xfId="6" applyNumberFormat="1" applyFont="1" applyFill="1" applyBorder="1"/>
    <xf numFmtId="170" fontId="46" fillId="7" borderId="17" xfId="6" applyNumberFormat="1" applyFont="1" applyFill="1" applyBorder="1"/>
    <xf numFmtId="170" fontId="46" fillId="4" borderId="9" xfId="6" applyNumberFormat="1" applyFont="1" applyFill="1" applyBorder="1"/>
    <xf numFmtId="170" fontId="46" fillId="4" borderId="14" xfId="6" applyNumberFormat="1" applyFont="1" applyFill="1" applyBorder="1"/>
    <xf numFmtId="0" fontId="103" fillId="0" borderId="4" xfId="83" applyFont="1" applyFill="1" applyBorder="1"/>
    <xf numFmtId="170" fontId="66" fillId="0" borderId="7" xfId="6" applyNumberFormat="1" applyFont="1" applyFill="1" applyBorder="1"/>
    <xf numFmtId="167" fontId="103" fillId="0" borderId="0" xfId="5" applyNumberFormat="1" applyFont="1" applyFill="1" applyBorder="1" applyAlignment="1">
      <alignment vertical="top"/>
    </xf>
    <xf numFmtId="167" fontId="103" fillId="0" borderId="11" xfId="5" applyNumberFormat="1" applyFont="1" applyFill="1" applyBorder="1" applyAlignment="1">
      <alignment vertical="top"/>
    </xf>
    <xf numFmtId="0" fontId="119" fillId="0" borderId="0" xfId="5" applyFont="1" applyFill="1" applyBorder="1" applyAlignment="1">
      <alignment vertical="top"/>
    </xf>
    <xf numFmtId="0" fontId="103" fillId="0" borderId="0" xfId="5" applyFont="1" applyFill="1" applyBorder="1" applyAlignment="1">
      <alignment vertical="top"/>
    </xf>
    <xf numFmtId="0" fontId="109" fillId="0" borderId="4" xfId="5" applyFont="1" applyFill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58" fillId="0" borderId="0" xfId="5" applyFont="1" applyFill="1" applyBorder="1" applyAlignment="1">
      <alignment horizontal="center" vertical="top"/>
    </xf>
    <xf numFmtId="0" fontId="47" fillId="0" borderId="0" xfId="0" applyFont="1" applyAlignment="1">
      <alignment horizontal="center" vertical="top"/>
    </xf>
    <xf numFmtId="0" fontId="98" fillId="0" borderId="0" xfId="0" applyFont="1" applyAlignment="1">
      <alignment horizontal="center" vertical="top"/>
    </xf>
    <xf numFmtId="0" fontId="98" fillId="0" borderId="14" xfId="0" applyFont="1" applyBorder="1" applyAlignment="1">
      <alignment horizontal="center" vertical="top"/>
    </xf>
    <xf numFmtId="0" fontId="98" fillId="0" borderId="28" xfId="0" applyFont="1" applyBorder="1" applyAlignment="1">
      <alignment horizontal="center" vertical="top"/>
    </xf>
    <xf numFmtId="0" fontId="112" fillId="0" borderId="0" xfId="0" applyFont="1" applyAlignment="1">
      <alignment horizontal="center" vertical="top"/>
    </xf>
    <xf numFmtId="0" fontId="103" fillId="0" borderId="15" xfId="0" applyFont="1" applyBorder="1" applyAlignment="1">
      <alignment horizontal="center" vertical="top"/>
    </xf>
    <xf numFmtId="0" fontId="107" fillId="0" borderId="0" xfId="0" applyFont="1" applyAlignment="1">
      <alignment horizontal="center" vertical="top"/>
    </xf>
    <xf numFmtId="0" fontId="103" fillId="0" borderId="0" xfId="0" applyFont="1" applyAlignment="1">
      <alignment horizontal="center" vertical="top"/>
    </xf>
    <xf numFmtId="0" fontId="54" fillId="0" borderId="0" xfId="5" applyFont="1" applyFill="1" applyAlignment="1">
      <alignment horizontal="center" vertical="top"/>
    </xf>
    <xf numFmtId="0" fontId="59" fillId="0" borderId="3" xfId="5" applyFont="1" applyFill="1" applyBorder="1" applyAlignment="1">
      <alignment horizontal="center" vertical="top"/>
    </xf>
    <xf numFmtId="0" fontId="54" fillId="0" borderId="10" xfId="5" applyFont="1" applyFill="1" applyBorder="1" applyAlignment="1">
      <alignment horizontal="center" vertical="top"/>
    </xf>
    <xf numFmtId="0" fontId="97" fillId="0" borderId="10" xfId="5" applyFont="1" applyFill="1" applyBorder="1" applyAlignment="1">
      <alignment horizontal="center" vertical="top"/>
    </xf>
    <xf numFmtId="0" fontId="100" fillId="0" borderId="10" xfId="5" applyFont="1" applyFill="1" applyBorder="1" applyAlignment="1">
      <alignment horizontal="center" vertical="top"/>
    </xf>
    <xf numFmtId="0" fontId="102" fillId="0" borderId="0" xfId="5" applyFont="1" applyFill="1" applyBorder="1" applyAlignment="1">
      <alignment horizontal="center" vertical="top"/>
    </xf>
    <xf numFmtId="0" fontId="100" fillId="0" borderId="9" xfId="5" applyFont="1" applyFill="1" applyBorder="1" applyAlignment="1">
      <alignment horizontal="center" vertical="top"/>
    </xf>
    <xf numFmtId="0" fontId="100" fillId="0" borderId="0" xfId="5" applyFont="1" applyFill="1" applyBorder="1" applyAlignment="1">
      <alignment horizontal="center" vertical="top"/>
    </xf>
    <xf numFmtId="175" fontId="54" fillId="0" borderId="0" xfId="5" applyNumberFormat="1" applyFont="1" applyFill="1" applyBorder="1" applyAlignment="1">
      <alignment horizontal="center" vertical="top"/>
    </xf>
    <xf numFmtId="0" fontId="103" fillId="0" borderId="10" xfId="5" applyFont="1" applyFill="1" applyBorder="1" applyAlignment="1">
      <alignment horizontal="center" vertical="top"/>
    </xf>
    <xf numFmtId="0" fontId="103" fillId="0" borderId="12" xfId="5" applyFont="1" applyFill="1" applyBorder="1" applyAlignment="1">
      <alignment horizontal="center" vertical="top"/>
    </xf>
    <xf numFmtId="0" fontId="138" fillId="0" borderId="0" xfId="5" applyFont="1" applyFill="1" applyBorder="1" applyAlignment="1">
      <alignment horizontal="center" vertical="top"/>
    </xf>
    <xf numFmtId="0" fontId="135" fillId="0" borderId="0" xfId="5" applyFont="1" applyFill="1" applyBorder="1" applyAlignment="1">
      <alignment horizontal="center" vertical="top"/>
    </xf>
    <xf numFmtId="0" fontId="114" fillId="0" borderId="0" xfId="5" applyFont="1" applyFill="1" applyBorder="1" applyAlignment="1">
      <alignment horizontal="center" vertical="top"/>
    </xf>
    <xf numFmtId="0" fontId="103" fillId="0" borderId="9" xfId="5" applyFont="1" applyFill="1" applyBorder="1" applyAlignment="1">
      <alignment horizontal="center" vertical="top"/>
    </xf>
    <xf numFmtId="0" fontId="103" fillId="0" borderId="0" xfId="5" applyFont="1" applyFill="1" applyAlignment="1">
      <alignment horizontal="center" vertical="top"/>
    </xf>
    <xf numFmtId="0" fontId="74" fillId="0" borderId="0" xfId="5" applyFont="1" applyFill="1" applyAlignment="1">
      <alignment horizontal="center" vertical="top"/>
    </xf>
    <xf numFmtId="167" fontId="103" fillId="0" borderId="0" xfId="0" applyNumberFormat="1" applyFont="1"/>
    <xf numFmtId="168" fontId="56" fillId="0" borderId="0" xfId="3" applyFont="1" applyFill="1" applyBorder="1">
      <alignment horizontal="left"/>
    </xf>
    <xf numFmtId="0" fontId="59" fillId="0" borderId="3" xfId="83" applyFont="1" applyFill="1" applyBorder="1"/>
    <xf numFmtId="3" fontId="59" fillId="0" borderId="3" xfId="83" applyNumberFormat="1" applyFont="1" applyFill="1" applyBorder="1" applyAlignment="1">
      <alignment horizontal="right"/>
    </xf>
    <xf numFmtId="0" fontId="53" fillId="0" borderId="0" xfId="83" applyFont="1" applyFill="1"/>
    <xf numFmtId="3" fontId="54" fillId="0" borderId="0" xfId="83" applyNumberFormat="1" applyFont="1" applyFill="1" applyAlignment="1">
      <alignment horizontal="right"/>
    </xf>
    <xf numFmtId="3" fontId="54" fillId="0" borderId="0" xfId="83" applyNumberFormat="1" applyFont="1" applyFill="1"/>
    <xf numFmtId="3" fontId="57" fillId="0" borderId="0" xfId="83" applyNumberFormat="1" applyFont="1" applyFill="1" applyAlignment="1">
      <alignment horizontal="right"/>
    </xf>
    <xf numFmtId="0" fontId="55" fillId="0" borderId="0" xfId="83" applyFont="1" applyFill="1"/>
    <xf numFmtId="0" fontId="55" fillId="0" borderId="5" xfId="83" applyFont="1" applyFill="1" applyBorder="1"/>
    <xf numFmtId="0" fontId="54" fillId="0" borderId="9" xfId="83" applyFont="1" applyFill="1" applyBorder="1"/>
    <xf numFmtId="0" fontId="56" fillId="0" borderId="9" xfId="83" applyFont="1" applyFill="1" applyBorder="1" applyAlignment="1">
      <alignment horizontal="right"/>
    </xf>
    <xf numFmtId="3" fontId="56" fillId="0" borderId="9" xfId="83" applyNumberFormat="1" applyFont="1" applyFill="1" applyBorder="1" applyAlignment="1">
      <alignment horizontal="right" wrapText="1"/>
    </xf>
    <xf numFmtId="0" fontId="56" fillId="0" borderId="8" xfId="83" applyFont="1" applyFill="1" applyBorder="1" applyAlignment="1">
      <alignment horizontal="right"/>
    </xf>
    <xf numFmtId="0" fontId="74" fillId="0" borderId="5" xfId="83" applyFont="1" applyFill="1" applyBorder="1"/>
    <xf numFmtId="0" fontId="73" fillId="0" borderId="9" xfId="83" applyFont="1" applyFill="1" applyBorder="1"/>
    <xf numFmtId="0" fontId="73" fillId="0" borderId="9" xfId="83" applyFont="1" applyFill="1" applyBorder="1" applyAlignment="1">
      <alignment horizontal="right"/>
    </xf>
    <xf numFmtId="3" fontId="74" fillId="0" borderId="9" xfId="83" applyNumberFormat="1" applyFont="1" applyFill="1" applyBorder="1" applyAlignment="1">
      <alignment horizontal="right"/>
    </xf>
    <xf numFmtId="3" fontId="74" fillId="0" borderId="8" xfId="83" applyNumberFormat="1" applyFont="1" applyFill="1" applyBorder="1" applyAlignment="1">
      <alignment horizontal="right"/>
    </xf>
    <xf numFmtId="0" fontId="74" fillId="0" borderId="7" xfId="83" applyFont="1" applyFill="1" applyBorder="1"/>
    <xf numFmtId="0" fontId="74" fillId="0" borderId="10" xfId="83" applyFont="1" applyFill="1" applyBorder="1"/>
    <xf numFmtId="0" fontId="74" fillId="0" borderId="10" xfId="83" applyFont="1" applyFill="1" applyBorder="1" applyAlignment="1">
      <alignment horizontal="right"/>
    </xf>
    <xf numFmtId="3" fontId="74" fillId="0" borderId="10" xfId="83" applyNumberFormat="1" applyFont="1" applyFill="1" applyBorder="1" applyAlignment="1">
      <alignment horizontal="right"/>
    </xf>
    <xf numFmtId="3" fontId="74" fillId="0" borderId="18" xfId="83" applyNumberFormat="1" applyFont="1" applyFill="1" applyBorder="1" applyAlignment="1">
      <alignment horizontal="right"/>
    </xf>
    <xf numFmtId="0" fontId="47" fillId="0" borderId="0" xfId="0" applyFont="1" applyAlignment="1">
      <alignment horizontal="right"/>
    </xf>
    <xf numFmtId="0" fontId="54" fillId="0" borderId="0" xfId="5" applyFont="1" applyFill="1" applyAlignment="1">
      <alignment horizontal="right"/>
    </xf>
    <xf numFmtId="168" fontId="56" fillId="0" borderId="0" xfId="3" applyFont="1" applyFill="1" applyBorder="1" applyAlignment="1">
      <alignment horizontal="right"/>
    </xf>
    <xf numFmtId="0" fontId="100" fillId="0" borderId="10" xfId="5" applyFont="1" applyFill="1" applyBorder="1" applyAlignment="1">
      <alignment horizontal="right"/>
    </xf>
    <xf numFmtId="0" fontId="127" fillId="0" borderId="12" xfId="5" applyFont="1" applyFill="1" applyBorder="1" applyAlignment="1">
      <alignment horizontal="right"/>
    </xf>
    <xf numFmtId="0" fontId="54" fillId="0" borderId="0" xfId="5" applyFont="1" applyFill="1" applyAlignment="1"/>
    <xf numFmtId="3" fontId="127" fillId="0" borderId="0" xfId="83" applyNumberFormat="1" applyFont="1" applyFill="1" applyBorder="1" applyAlignment="1">
      <alignment horizontal="right" vertical="top"/>
    </xf>
    <xf numFmtId="3" fontId="106" fillId="0" borderId="10" xfId="5" applyNumberFormat="1" applyFont="1" applyFill="1" applyBorder="1" applyAlignment="1">
      <alignment horizontal="right" vertical="top"/>
    </xf>
    <xf numFmtId="3" fontId="106" fillId="0" borderId="18" xfId="5" applyNumberFormat="1" applyFont="1" applyFill="1" applyBorder="1" applyAlignment="1">
      <alignment horizontal="right" vertical="top"/>
    </xf>
    <xf numFmtId="3" fontId="106" fillId="0" borderId="12" xfId="5" applyNumberFormat="1" applyFont="1" applyFill="1" applyBorder="1" applyAlignment="1">
      <alignment horizontal="right" vertical="top"/>
    </xf>
    <xf numFmtId="3" fontId="106" fillId="0" borderId="13" xfId="5" applyNumberFormat="1" applyFont="1" applyFill="1" applyBorder="1" applyAlignment="1">
      <alignment horizontal="right" vertical="top"/>
    </xf>
    <xf numFmtId="167" fontId="138" fillId="0" borderId="0" xfId="5" applyNumberFormat="1" applyFont="1" applyFill="1" applyBorder="1" applyAlignment="1">
      <alignment vertical="top"/>
    </xf>
    <xf numFmtId="167" fontId="135" fillId="0" borderId="0" xfId="5" applyNumberFormat="1" applyFont="1" applyFill="1" applyBorder="1" applyAlignment="1">
      <alignment vertical="top"/>
    </xf>
    <xf numFmtId="167" fontId="135" fillId="0" borderId="11" xfId="5" applyNumberFormat="1" applyFont="1" applyFill="1" applyBorder="1" applyAlignment="1">
      <alignment vertical="top"/>
    </xf>
    <xf numFmtId="167" fontId="114" fillId="0" borderId="0" xfId="5" applyNumberFormat="1" applyFont="1" applyFill="1" applyBorder="1" applyAlignment="1">
      <alignment vertical="top"/>
    </xf>
    <xf numFmtId="167" fontId="114" fillId="0" borderId="11" xfId="5" applyNumberFormat="1" applyFont="1" applyFill="1" applyBorder="1" applyAlignment="1">
      <alignment vertical="top"/>
    </xf>
    <xf numFmtId="3" fontId="106" fillId="0" borderId="8" xfId="5" applyNumberFormat="1" applyFont="1" applyFill="1" applyBorder="1" applyAlignment="1">
      <alignment horizontal="right"/>
    </xf>
    <xf numFmtId="170" fontId="154" fillId="0" borderId="0" xfId="0" applyNumberFormat="1" applyFont="1"/>
    <xf numFmtId="170" fontId="153" fillId="0" borderId="0" xfId="0" applyNumberFormat="1" applyFont="1" applyAlignment="1">
      <alignment horizontal="center"/>
    </xf>
    <xf numFmtId="0" fontId="153" fillId="0" borderId="0" xfId="0" applyFont="1"/>
    <xf numFmtId="0" fontId="155" fillId="0" borderId="0" xfId="0" applyFont="1"/>
    <xf numFmtId="170" fontId="155" fillId="0" borderId="0" xfId="0" applyNumberFormat="1" applyFont="1"/>
    <xf numFmtId="167" fontId="66" fillId="4" borderId="14" xfId="6" applyNumberFormat="1" applyFont="1" applyFill="1" applyBorder="1"/>
    <xf numFmtId="171" fontId="66" fillId="4" borderId="16" xfId="6" applyNumberFormat="1" applyFont="1" applyFill="1" applyBorder="1"/>
    <xf numFmtId="3" fontId="147" fillId="0" borderId="0" xfId="0" applyNumberFormat="1" applyFont="1"/>
    <xf numFmtId="176" fontId="52" fillId="0" borderId="0" xfId="0" applyNumberFormat="1" applyFont="1"/>
    <xf numFmtId="3" fontId="52" fillId="0" borderId="0" xfId="0" applyNumberFormat="1" applyFont="1"/>
    <xf numFmtId="0" fontId="92" fillId="0" borderId="0" xfId="0" applyFont="1" applyAlignment="1">
      <alignment horizontal="center"/>
    </xf>
    <xf numFmtId="0" fontId="101" fillId="0" borderId="33" xfId="0" applyFont="1" applyBorder="1"/>
    <xf numFmtId="0" fontId="127" fillId="0" borderId="0" xfId="0" applyFont="1" applyAlignment="1">
      <alignment vertical="top"/>
    </xf>
    <xf numFmtId="177" fontId="127" fillId="0" borderId="0" xfId="5" applyNumberFormat="1" applyFont="1" applyFill="1" applyBorder="1" applyAlignment="1">
      <alignment vertical="top"/>
    </xf>
    <xf numFmtId="0" fontId="47" fillId="0" borderId="0" xfId="90" applyAlignment="1">
      <alignment wrapText="1"/>
    </xf>
    <xf numFmtId="0" fontId="47" fillId="0" borderId="0" xfId="90"/>
    <xf numFmtId="0" fontId="156" fillId="0" borderId="0" xfId="90" applyFont="1"/>
    <xf numFmtId="0" fontId="46" fillId="0" borderId="0" xfId="83" applyFont="1" applyFill="1" applyAlignment="1"/>
    <xf numFmtId="3" fontId="47" fillId="0" borderId="0" xfId="90" applyNumberFormat="1"/>
    <xf numFmtId="0" fontId="56" fillId="0" borderId="0" xfId="83" applyFont="1" applyFill="1" applyBorder="1" applyAlignment="1">
      <alignment wrapText="1"/>
    </xf>
    <xf numFmtId="0" fontId="54" fillId="0" borderId="0" xfId="83" applyFont="1" applyFill="1" applyBorder="1"/>
    <xf numFmtId="168" fontId="56" fillId="0" borderId="0" xfId="1096" applyNumberFormat="1" applyFont="1" applyFill="1" applyBorder="1">
      <alignment horizontal="left"/>
    </xf>
    <xf numFmtId="0" fontId="55" fillId="0" borderId="0" xfId="83" applyFont="1" applyFill="1" applyAlignment="1">
      <alignment wrapText="1"/>
    </xf>
    <xf numFmtId="0" fontId="55" fillId="0" borderId="7" xfId="83" applyFont="1" applyFill="1" applyBorder="1" applyAlignment="1">
      <alignment wrapText="1"/>
    </xf>
    <xf numFmtId="0" fontId="54" fillId="0" borderId="10" xfId="83" applyFont="1" applyFill="1" applyBorder="1"/>
    <xf numFmtId="0" fontId="97" fillId="0" borderId="10" xfId="83" applyFont="1" applyFill="1" applyBorder="1"/>
    <xf numFmtId="0" fontId="56" fillId="0" borderId="10" xfId="83" applyFont="1" applyFill="1" applyBorder="1" applyAlignment="1">
      <alignment horizontal="right"/>
    </xf>
    <xf numFmtId="0" fontId="126" fillId="0" borderId="4" xfId="83" applyFont="1" applyFill="1" applyBorder="1" applyAlignment="1">
      <alignment wrapText="1"/>
    </xf>
    <xf numFmtId="0" fontId="7" fillId="0" borderId="0" xfId="83" applyFont="1" applyFill="1" applyBorder="1"/>
    <xf numFmtId="0" fontId="7" fillId="0" borderId="0" xfId="83" applyFont="1" applyFill="1" applyBorder="1" applyAlignment="1">
      <alignment horizontal="right"/>
    </xf>
    <xf numFmtId="0" fontId="127" fillId="0" borderId="4" xfId="83" applyFont="1" applyFill="1" applyBorder="1" applyAlignment="1">
      <alignment wrapText="1"/>
    </xf>
    <xf numFmtId="0" fontId="92" fillId="0" borderId="0" xfId="83" applyFont="1" applyFill="1" applyBorder="1"/>
    <xf numFmtId="3" fontId="156" fillId="0" borderId="0" xfId="90" applyNumberFormat="1" applyFont="1"/>
    <xf numFmtId="0" fontId="158" fillId="0" borderId="0" xfId="83" applyFont="1" applyFill="1" applyBorder="1"/>
    <xf numFmtId="0" fontId="148" fillId="0" borderId="0" xfId="90" applyFont="1"/>
    <xf numFmtId="0" fontId="145" fillId="0" borderId="4" xfId="90" applyFont="1" applyBorder="1" applyAlignment="1">
      <alignment vertical="center"/>
    </xf>
    <xf numFmtId="0" fontId="143" fillId="0" borderId="4" xfId="90" applyFont="1" applyBorder="1"/>
    <xf numFmtId="0" fontId="126" fillId="0" borderId="4" xfId="83" applyFont="1" applyFill="1" applyBorder="1"/>
    <xf numFmtId="0" fontId="47" fillId="5" borderId="0" xfId="90" applyFill="1"/>
    <xf numFmtId="0" fontId="78" fillId="0" borderId="0" xfId="83" applyFont="1" applyFill="1" applyBorder="1"/>
    <xf numFmtId="0" fontId="54" fillId="0" borderId="0" xfId="83" applyFont="1" applyFill="1" applyBorder="1" applyAlignment="1">
      <alignment horizontal="right"/>
    </xf>
    <xf numFmtId="3" fontId="56" fillId="0" borderId="0" xfId="83" applyNumberFormat="1" applyFont="1" applyFill="1" applyBorder="1" applyAlignment="1">
      <alignment horizontal="right"/>
    </xf>
    <xf numFmtId="0" fontId="56" fillId="0" borderId="4" xfId="83" applyFont="1" applyFill="1" applyBorder="1" applyAlignment="1">
      <alignment wrapText="1"/>
    </xf>
    <xf numFmtId="3" fontId="126" fillId="0" borderId="0" xfId="5" applyNumberFormat="1" applyFont="1" applyFill="1" applyBorder="1" applyAlignment="1">
      <alignment horizontal="right"/>
    </xf>
    <xf numFmtId="3" fontId="127" fillId="0" borderId="0" xfId="5" applyNumberFormat="1" applyFont="1" applyFill="1" applyBorder="1" applyAlignment="1"/>
    <xf numFmtId="3" fontId="127" fillId="0" borderId="15" xfId="5" applyNumberFormat="1" applyFont="1" applyFill="1" applyBorder="1" applyAlignment="1">
      <alignment horizontal="right"/>
    </xf>
    <xf numFmtId="0" fontId="134" fillId="0" borderId="0" xfId="5" applyFont="1" applyBorder="1"/>
    <xf numFmtId="167" fontId="46" fillId="45" borderId="15" xfId="6" applyNumberFormat="1" applyFont="1" applyFill="1" applyBorder="1"/>
    <xf numFmtId="0" fontId="0" fillId="7" borderId="8" xfId="0" applyFill="1" applyBorder="1"/>
    <xf numFmtId="4" fontId="51" fillId="0" borderId="15" xfId="6" applyNumberFormat="1" applyFont="1" applyFill="1" applyBorder="1"/>
    <xf numFmtId="0" fontId="103" fillId="0" borderId="7" xfId="0" applyFont="1" applyBorder="1"/>
    <xf numFmtId="2" fontId="65" fillId="9" borderId="4" xfId="7" applyNumberFormat="1" applyFont="1" applyFill="1" applyBorder="1"/>
    <xf numFmtId="2" fontId="65" fillId="9" borderId="0" xfId="7" applyNumberFormat="1" applyFont="1" applyFill="1"/>
    <xf numFmtId="2" fontId="65" fillId="9" borderId="11" xfId="7" applyNumberFormat="1" applyFont="1" applyFill="1" applyBorder="1"/>
    <xf numFmtId="167" fontId="47" fillId="0" borderId="10" xfId="6" applyNumberFormat="1" applyFill="1" applyBorder="1"/>
    <xf numFmtId="0" fontId="0" fillId="7" borderId="6" xfId="0" applyFill="1" applyBorder="1"/>
    <xf numFmtId="0" fontId="0" fillId="7" borderId="13" xfId="0" applyFill="1" applyBorder="1"/>
    <xf numFmtId="0" fontId="98" fillId="0" borderId="0" xfId="0" applyFont="1"/>
    <xf numFmtId="0" fontId="98" fillId="0" borderId="33" xfId="0" applyFont="1" applyBorder="1"/>
    <xf numFmtId="3" fontId="56" fillId="0" borderId="15" xfId="83" applyNumberFormat="1" applyFont="1" applyFill="1" applyBorder="1" applyAlignment="1">
      <alignment horizontal="center"/>
    </xf>
    <xf numFmtId="3" fontId="97" fillId="0" borderId="15" xfId="5" applyNumberFormat="1" applyFont="1" applyFill="1" applyBorder="1" applyAlignment="1">
      <alignment horizontal="right"/>
    </xf>
    <xf numFmtId="0" fontId="47" fillId="43" borderId="14" xfId="7" applyFill="1" applyBorder="1" applyAlignment="1">
      <alignment horizontal="center"/>
    </xf>
    <xf numFmtId="0" fontId="47" fillId="43" borderId="10" xfId="7" applyFill="1" applyBorder="1" applyAlignment="1">
      <alignment horizontal="center" wrapText="1"/>
    </xf>
    <xf numFmtId="0" fontId="47" fillId="43" borderId="18" xfId="7" applyFill="1" applyBorder="1" applyAlignment="1">
      <alignment horizontal="center" wrapText="1"/>
    </xf>
    <xf numFmtId="0" fontId="52" fillId="0" borderId="0" xfId="5" applyFont="1" applyBorder="1" applyAlignment="1">
      <alignment horizontal="center"/>
    </xf>
    <xf numFmtId="0" fontId="73" fillId="0" borderId="0" xfId="0" applyFont="1" applyAlignment="1">
      <alignment horizontal="left" wrapText="1"/>
    </xf>
    <xf numFmtId="0" fontId="147" fillId="0" borderId="0" xfId="0" applyFont="1" applyAlignment="1">
      <alignment wrapText="1"/>
    </xf>
    <xf numFmtId="3" fontId="127" fillId="0" borderId="11" xfId="5" applyNumberFormat="1" applyFont="1" applyFill="1" applyBorder="1" applyAlignment="1">
      <alignment horizontal="right"/>
    </xf>
    <xf numFmtId="0" fontId="127" fillId="0" borderId="0" xfId="0" applyFont="1" applyAlignment="1">
      <alignment horizontal="center"/>
    </xf>
    <xf numFmtId="0" fontId="134" fillId="0" borderId="0" xfId="83" applyFont="1" applyBorder="1"/>
    <xf numFmtId="0" fontId="103" fillId="0" borderId="0" xfId="83" applyFont="1" applyFill="1" applyBorder="1" applyAlignment="1">
      <alignment horizontal="right"/>
    </xf>
    <xf numFmtId="1" fontId="127" fillId="0" borderId="4" xfId="0" applyNumberFormat="1" applyFont="1" applyBorder="1"/>
    <xf numFmtId="3" fontId="103" fillId="0" borderId="0" xfId="83" applyNumberFormat="1" applyFont="1" applyFill="1" applyBorder="1" applyAlignment="1">
      <alignment vertical="top"/>
    </xf>
    <xf numFmtId="3" fontId="103" fillId="0" borderId="11" xfId="83" applyNumberFormat="1" applyFont="1" applyFill="1" applyBorder="1" applyAlignment="1">
      <alignment vertical="top"/>
    </xf>
    <xf numFmtId="0" fontId="103" fillId="0" borderId="0" xfId="83" applyFont="1" applyFill="1" applyBorder="1" applyAlignment="1">
      <alignment horizontal="center" vertical="top"/>
    </xf>
    <xf numFmtId="0" fontId="63" fillId="0" borderId="3" xfId="5" applyFont="1" applyFill="1" applyBorder="1"/>
    <xf numFmtId="0" fontId="56" fillId="0" borderId="3" xfId="5" applyFont="1" applyFill="1" applyBorder="1"/>
    <xf numFmtId="0" fontId="56" fillId="0" borderId="3" xfId="5" applyFont="1" applyFill="1" applyBorder="1" applyAlignment="1">
      <alignment horizontal="right"/>
    </xf>
    <xf numFmtId="0" fontId="56" fillId="0" borderId="3" xfId="5" applyFont="1" applyFill="1" applyBorder="1" applyAlignment="1"/>
    <xf numFmtId="0" fontId="56" fillId="0" borderId="0" xfId="5" applyFont="1" applyFill="1" applyBorder="1" applyAlignment="1"/>
    <xf numFmtId="0" fontId="46" fillId="0" borderId="0" xfId="5" applyFont="1" applyFill="1" applyBorder="1"/>
    <xf numFmtId="0" fontId="46" fillId="0" borderId="0" xfId="5" applyFont="1" applyFill="1" applyBorder="1" applyAlignment="1"/>
    <xf numFmtId="0" fontId="56" fillId="0" borderId="3" xfId="83" applyFont="1" applyFill="1" applyBorder="1"/>
    <xf numFmtId="0" fontId="63" fillId="0" borderId="3" xfId="83" applyFont="1" applyFill="1" applyBorder="1"/>
    <xf numFmtId="0" fontId="50" fillId="0" borderId="0" xfId="83" applyFont="1" applyFill="1" applyBorder="1"/>
    <xf numFmtId="0" fontId="121" fillId="0" borderId="4" xfId="83" applyFont="1" applyFill="1" applyBorder="1" applyAlignment="1">
      <alignment wrapText="1"/>
    </xf>
    <xf numFmtId="0" fontId="109" fillId="0" borderId="4" xfId="83" applyFont="1" applyFill="1" applyBorder="1"/>
    <xf numFmtId="0" fontId="103" fillId="0" borderId="0" xfId="83" applyFont="1" applyFill="1" applyBorder="1" applyAlignment="1">
      <alignment vertical="top" wrapText="1"/>
    </xf>
    <xf numFmtId="167" fontId="103" fillId="0" borderId="0" xfId="83" applyNumberFormat="1" applyFont="1" applyFill="1" applyBorder="1" applyAlignment="1">
      <alignment vertical="top"/>
    </xf>
    <xf numFmtId="167" fontId="103" fillId="0" borderId="11" xfId="83" applyNumberFormat="1" applyFont="1" applyFill="1" applyBorder="1" applyAlignment="1">
      <alignment vertical="top"/>
    </xf>
    <xf numFmtId="0" fontId="119" fillId="0" borderId="0" xfId="83" applyFont="1" applyFill="1" applyBorder="1"/>
    <xf numFmtId="176" fontId="124" fillId="42" borderId="29" xfId="0" applyNumberFormat="1" applyFont="1" applyFill="1" applyBorder="1" applyAlignment="1">
      <alignment horizontal="right" vertical="center" wrapText="1"/>
    </xf>
    <xf numFmtId="0" fontId="50" fillId="0" borderId="0" xfId="5" applyFont="1" applyFill="1" applyBorder="1"/>
    <xf numFmtId="173" fontId="65" fillId="9" borderId="4" xfId="7" applyNumberFormat="1" applyFont="1" applyFill="1" applyBorder="1"/>
    <xf numFmtId="173" fontId="65" fillId="9" borderId="0" xfId="7" applyNumberFormat="1" applyFont="1" applyFill="1"/>
    <xf numFmtId="173" fontId="65" fillId="9" borderId="11" xfId="7" applyNumberFormat="1" applyFont="1" applyFill="1" applyBorder="1"/>
    <xf numFmtId="167" fontId="47" fillId="0" borderId="11" xfId="5" applyNumberFormat="1" applyFont="1" applyFill="1" applyBorder="1"/>
    <xf numFmtId="167" fontId="65" fillId="9" borderId="4" xfId="7" applyNumberFormat="1" applyFont="1" applyFill="1" applyBorder="1"/>
    <xf numFmtId="3" fontId="127" fillId="0" borderId="13" xfId="5" applyNumberFormat="1" applyFont="1" applyFill="1" applyBorder="1" applyAlignment="1">
      <alignment horizontal="right"/>
    </xf>
    <xf numFmtId="3" fontId="126" fillId="0" borderId="11" xfId="5" applyNumberFormat="1" applyFont="1" applyFill="1" applyBorder="1" applyAlignment="1">
      <alignment horizontal="right"/>
    </xf>
    <xf numFmtId="3" fontId="127" fillId="0" borderId="11" xfId="83" applyNumberFormat="1" applyFont="1" applyFill="1" applyBorder="1" applyAlignment="1">
      <alignment horizontal="right"/>
    </xf>
    <xf numFmtId="180" fontId="127" fillId="0" borderId="15" xfId="193" applyNumberFormat="1" applyFont="1" applyFill="1" applyBorder="1" applyAlignment="1">
      <alignment horizontal="right"/>
    </xf>
    <xf numFmtId="0" fontId="143" fillId="0" borderId="4" xfId="90" applyFont="1" applyBorder="1" applyAlignment="1">
      <alignment wrapText="1"/>
    </xf>
    <xf numFmtId="3" fontId="144" fillId="0" borderId="0" xfId="83" applyNumberFormat="1" applyFont="1" applyFill="1" applyBorder="1" applyAlignment="1">
      <alignment horizontal="right"/>
    </xf>
    <xf numFmtId="3" fontId="144" fillId="0" borderId="34" xfId="83" applyNumberFormat="1" applyFont="1" applyFill="1" applyBorder="1" applyAlignment="1">
      <alignment horizontal="right"/>
    </xf>
    <xf numFmtId="0" fontId="165" fillId="0" borderId="4" xfId="90" applyFont="1" applyBorder="1"/>
    <xf numFmtId="0" fontId="159" fillId="0" borderId="0" xfId="83" applyFont="1" applyFill="1" applyBorder="1"/>
    <xf numFmtId="167" fontId="65" fillId="0" borderId="0" xfId="5" applyNumberFormat="1" applyFont="1" applyBorder="1" applyAlignment="1">
      <alignment horizontal="left"/>
    </xf>
    <xf numFmtId="0" fontId="75" fillId="0" borderId="9" xfId="0" applyFont="1" applyBorder="1"/>
    <xf numFmtId="3" fontId="166" fillId="0" borderId="9" xfId="5" applyNumberFormat="1" applyFont="1" applyFill="1" applyBorder="1" applyAlignment="1">
      <alignment horizontal="right"/>
    </xf>
    <xf numFmtId="0" fontId="66" fillId="6" borderId="7" xfId="0" applyFont="1" applyFill="1" applyBorder="1"/>
    <xf numFmtId="167" fontId="65" fillId="6" borderId="10" xfId="0" applyNumberFormat="1" applyFont="1" applyFill="1" applyBorder="1"/>
    <xf numFmtId="0" fontId="66" fillId="6" borderId="6" xfId="0" applyFont="1" applyFill="1" applyBorder="1"/>
    <xf numFmtId="0" fontId="66" fillId="6" borderId="12" xfId="0" applyFont="1" applyFill="1" applyBorder="1"/>
    <xf numFmtId="167" fontId="65" fillId="6" borderId="12" xfId="0" applyNumberFormat="1" applyFont="1" applyFill="1" applyBorder="1"/>
    <xf numFmtId="167" fontId="65" fillId="6" borderId="13" xfId="0" applyNumberFormat="1" applyFont="1" applyFill="1" applyBorder="1"/>
    <xf numFmtId="0" fontId="66" fillId="6" borderId="35" xfId="0" applyFont="1" applyFill="1" applyBorder="1"/>
    <xf numFmtId="0" fontId="66" fillId="6" borderId="36" xfId="0" applyFont="1" applyFill="1" applyBorder="1"/>
    <xf numFmtId="170" fontId="65" fillId="6" borderId="36" xfId="0" applyNumberFormat="1" applyFont="1" applyFill="1" applyBorder="1"/>
    <xf numFmtId="167" fontId="65" fillId="6" borderId="36" xfId="0" applyNumberFormat="1" applyFont="1" applyFill="1" applyBorder="1"/>
    <xf numFmtId="167" fontId="65" fillId="6" borderId="37" xfId="0" applyNumberFormat="1" applyFont="1" applyFill="1" applyBorder="1"/>
    <xf numFmtId="0" fontId="66" fillId="6" borderId="31" xfId="0" applyFont="1" applyFill="1" applyBorder="1"/>
    <xf numFmtId="167" fontId="65" fillId="6" borderId="34" xfId="0" applyNumberFormat="1" applyFont="1" applyFill="1" applyBorder="1"/>
    <xf numFmtId="0" fontId="66" fillId="6" borderId="38" xfId="0" applyFont="1" applyFill="1" applyBorder="1"/>
    <xf numFmtId="0" fontId="66" fillId="6" borderId="32" xfId="0" applyFont="1" applyFill="1" applyBorder="1"/>
    <xf numFmtId="170" fontId="65" fillId="6" borderId="32" xfId="0" applyNumberFormat="1" applyFont="1" applyFill="1" applyBorder="1"/>
    <xf numFmtId="167" fontId="65" fillId="6" borderId="32" xfId="0" applyNumberFormat="1" applyFont="1" applyFill="1" applyBorder="1"/>
    <xf numFmtId="167" fontId="65" fillId="6" borderId="39" xfId="0" applyNumberFormat="1" applyFont="1" applyFill="1" applyBorder="1"/>
    <xf numFmtId="171" fontId="66" fillId="4" borderId="14" xfId="6" applyNumberFormat="1" applyFont="1" applyFill="1" applyBorder="1"/>
    <xf numFmtId="0" fontId="65" fillId="5" borderId="6" xfId="6" applyFont="1" applyFill="1" applyBorder="1"/>
    <xf numFmtId="3" fontId="97" fillId="0" borderId="10" xfId="83" applyNumberFormat="1" applyFont="1" applyFill="1" applyBorder="1" applyAlignment="1">
      <alignment horizontal="right"/>
    </xf>
    <xf numFmtId="0" fontId="92" fillId="0" borderId="0" xfId="83" applyFont="1" applyFill="1" applyBorder="1" applyAlignment="1">
      <alignment horizontal="right"/>
    </xf>
    <xf numFmtId="0" fontId="167" fillId="0" borderId="0" xfId="0" applyFont="1"/>
    <xf numFmtId="0" fontId="4" fillId="0" borderId="0" xfId="83" applyFont="1" applyFill="1" applyBorder="1"/>
    <xf numFmtId="3" fontId="77" fillId="0" borderId="0" xfId="5" applyNumberFormat="1" applyFont="1" applyFill="1" applyBorder="1" applyAlignment="1">
      <alignment horizontal="right"/>
    </xf>
    <xf numFmtId="167" fontId="103" fillId="0" borderId="0" xfId="0" applyNumberFormat="1" applyFont="1" applyAlignment="1">
      <alignment horizontal="left" vertical="top"/>
    </xf>
    <xf numFmtId="167" fontId="103" fillId="0" borderId="0" xfId="0" applyNumberFormat="1" applyFont="1" applyAlignment="1">
      <alignment vertical="top"/>
    </xf>
    <xf numFmtId="170" fontId="47" fillId="0" borderId="0" xfId="0" applyNumberFormat="1" applyFont="1" applyAlignment="1">
      <alignment wrapText="1"/>
    </xf>
    <xf numFmtId="3" fontId="92" fillId="0" borderId="0" xfId="83" applyNumberFormat="1" applyFont="1" applyFill="1" applyBorder="1" applyAlignment="1">
      <alignment horizontal="right"/>
    </xf>
    <xf numFmtId="170" fontId="66" fillId="0" borderId="0" xfId="0" applyNumberFormat="1" applyFont="1"/>
    <xf numFmtId="167" fontId="47" fillId="0" borderId="5" xfId="6" applyNumberFormat="1" applyFill="1" applyBorder="1"/>
    <xf numFmtId="167" fontId="168" fillId="0" borderId="0" xfId="0" applyNumberFormat="1" applyFont="1"/>
    <xf numFmtId="0" fontId="73" fillId="0" borderId="4" xfId="0" applyFont="1" applyBorder="1" applyAlignment="1">
      <alignment horizontal="left"/>
    </xf>
    <xf numFmtId="174" fontId="169" fillId="0" borderId="0" xfId="0" applyNumberFormat="1" applyFont="1"/>
    <xf numFmtId="167" fontId="66" fillId="9" borderId="5" xfId="6" applyNumberFormat="1" applyFont="1" applyFill="1" applyBorder="1"/>
    <xf numFmtId="167" fontId="65" fillId="9" borderId="0" xfId="7" applyNumberFormat="1" applyFont="1" applyFill="1"/>
    <xf numFmtId="167" fontId="65" fillId="9" borderId="11" xfId="7" applyNumberFormat="1" applyFont="1" applyFill="1" applyBorder="1"/>
    <xf numFmtId="167" fontId="65" fillId="9" borderId="5" xfId="7" applyNumberFormat="1" applyFont="1" applyFill="1" applyBorder="1"/>
    <xf numFmtId="167" fontId="65" fillId="9" borderId="9" xfId="7" applyNumberFormat="1" applyFont="1" applyFill="1" applyBorder="1"/>
    <xf numFmtId="167" fontId="65" fillId="9" borderId="8" xfId="7" applyNumberFormat="1" applyFont="1" applyFill="1" applyBorder="1"/>
    <xf numFmtId="167" fontId="170" fillId="0" borderId="0" xfId="0" applyNumberFormat="1" applyFont="1"/>
    <xf numFmtId="3" fontId="77" fillId="0" borderId="0" xfId="83" applyNumberFormat="1" applyFont="1" applyFill="1" applyBorder="1" applyAlignment="1">
      <alignment horizontal="right"/>
    </xf>
    <xf numFmtId="3" fontId="77" fillId="0" borderId="11" xfId="83" applyNumberFormat="1" applyFont="1" applyFill="1" applyBorder="1" applyAlignment="1">
      <alignment horizontal="right"/>
    </xf>
    <xf numFmtId="3" fontId="77" fillId="0" borderId="15" xfId="5" applyNumberFormat="1" applyFont="1" applyFill="1" applyBorder="1" applyAlignment="1">
      <alignment horizontal="right"/>
    </xf>
    <xf numFmtId="170" fontId="46" fillId="46" borderId="15" xfId="6" applyNumberFormat="1" applyFont="1" applyFill="1" applyBorder="1"/>
    <xf numFmtId="170" fontId="46" fillId="46" borderId="16" xfId="6" applyNumberFormat="1" applyFont="1" applyFill="1" applyBorder="1"/>
    <xf numFmtId="0" fontId="4" fillId="0" borderId="0" xfId="83" applyFont="1" applyFill="1" applyBorder="1" applyAlignment="1"/>
    <xf numFmtId="3" fontId="148" fillId="0" borderId="0" xfId="90" applyNumberFormat="1" applyFont="1"/>
    <xf numFmtId="0" fontId="171" fillId="0" borderId="0" xfId="5" applyFont="1" applyFill="1" applyBorder="1" applyAlignment="1">
      <alignment vertical="top"/>
    </xf>
    <xf numFmtId="0" fontId="171" fillId="0" borderId="0" xfId="5" applyFont="1" applyFill="1" applyBorder="1" applyAlignment="1">
      <alignment horizontal="center" vertical="top"/>
    </xf>
    <xf numFmtId="167" fontId="171" fillId="0" borderId="0" xfId="5" applyNumberFormat="1" applyFont="1" applyFill="1" applyBorder="1" applyAlignment="1">
      <alignment vertical="top"/>
    </xf>
    <xf numFmtId="167" fontId="171" fillId="0" borderId="11" xfId="5" applyNumberFormat="1" applyFont="1" applyFill="1" applyBorder="1" applyAlignment="1">
      <alignment vertical="top"/>
    </xf>
    <xf numFmtId="167" fontId="171" fillId="0" borderId="0" xfId="0" applyNumberFormat="1" applyFont="1"/>
    <xf numFmtId="0" fontId="103" fillId="0" borderId="0" xfId="5" applyFont="1" applyFill="1" applyBorder="1" applyAlignment="1">
      <alignment wrapText="1"/>
    </xf>
    <xf numFmtId="3" fontId="77" fillId="0" borderId="15" xfId="83" applyNumberFormat="1" applyFont="1" applyFill="1" applyBorder="1" applyAlignment="1">
      <alignment horizontal="right"/>
    </xf>
    <xf numFmtId="3" fontId="127" fillId="0" borderId="15" xfId="83" applyNumberFormat="1" applyFont="1" applyFill="1" applyBorder="1" applyAlignment="1">
      <alignment horizontal="right"/>
    </xf>
    <xf numFmtId="167" fontId="175" fillId="0" borderId="0" xfId="0" applyNumberFormat="1" applyFont="1"/>
    <xf numFmtId="167" fontId="177" fillId="0" borderId="0" xfId="0" applyNumberFormat="1" applyFont="1" applyAlignment="1">
      <alignment horizontal="left" vertical="top"/>
    </xf>
    <xf numFmtId="167" fontId="177" fillId="0" borderId="0" xfId="0" applyNumberFormat="1" applyFont="1"/>
    <xf numFmtId="0" fontId="176" fillId="0" borderId="4" xfId="0" applyFont="1" applyBorder="1" applyAlignment="1">
      <alignment vertical="center" wrapText="1"/>
    </xf>
    <xf numFmtId="0" fontId="4" fillId="0" borderId="0" xfId="83" applyFont="1" applyFill="1" applyBorder="1" applyAlignment="1">
      <alignment horizontal="right"/>
    </xf>
    <xf numFmtId="49" fontId="179" fillId="0" borderId="4" xfId="0" applyNumberFormat="1" applyFont="1" applyBorder="1" applyAlignment="1">
      <alignment horizontal="left" vertical="top"/>
    </xf>
    <xf numFmtId="170" fontId="65" fillId="0" borderId="0" xfId="0" quotePrefix="1" applyNumberFormat="1" applyFont="1"/>
    <xf numFmtId="0" fontId="63" fillId="0" borderId="3" xfId="83" applyFont="1" applyFill="1" applyBorder="1" applyAlignment="1"/>
    <xf numFmtId="0" fontId="50" fillId="0" borderId="0" xfId="83" applyFont="1" applyFill="1" applyBorder="1" applyAlignment="1"/>
    <xf numFmtId="0" fontId="54" fillId="0" borderId="0" xfId="83" applyFont="1" applyFill="1" applyAlignment="1"/>
    <xf numFmtId="0" fontId="54" fillId="0" borderId="0" xfId="83" applyFont="1" applyFill="1" applyBorder="1" applyAlignment="1"/>
    <xf numFmtId="3" fontId="54" fillId="0" borderId="0" xfId="83" applyNumberFormat="1" applyFont="1" applyFill="1" applyBorder="1" applyAlignment="1"/>
    <xf numFmtId="3" fontId="56" fillId="0" borderId="0" xfId="83" applyNumberFormat="1" applyFont="1" applyFill="1" applyAlignment="1"/>
    <xf numFmtId="0" fontId="57" fillId="0" borderId="0" xfId="83" applyFont="1" applyFill="1" applyAlignment="1"/>
    <xf numFmtId="0" fontId="54" fillId="0" borderId="10" xfId="83" applyFont="1" applyFill="1" applyBorder="1" applyAlignment="1"/>
    <xf numFmtId="0" fontId="7" fillId="0" borderId="0" xfId="83" applyFont="1" applyFill="1" applyBorder="1" applyAlignment="1"/>
    <xf numFmtId="3" fontId="7" fillId="0" borderId="0" xfId="83" applyNumberFormat="1" applyFont="1" applyFill="1" applyBorder="1" applyAlignment="1">
      <alignment horizontal="right"/>
    </xf>
    <xf numFmtId="0" fontId="159" fillId="0" borderId="0" xfId="83" applyFont="1" applyFill="1" applyBorder="1" applyAlignment="1">
      <alignment horizontal="right"/>
    </xf>
    <xf numFmtId="0" fontId="159" fillId="0" borderId="0" xfId="83" applyFont="1" applyFill="1" applyBorder="1" applyAlignment="1"/>
    <xf numFmtId="0" fontId="92" fillId="0" borderId="0" xfId="83" applyFont="1" applyFill="1" applyBorder="1" applyAlignment="1"/>
    <xf numFmtId="0" fontId="78" fillId="0" borderId="0" xfId="83" applyFont="1" applyFill="1" applyBorder="1" applyAlignment="1"/>
    <xf numFmtId="0" fontId="78" fillId="0" borderId="0" xfId="83" applyFont="1" applyFill="1" applyBorder="1" applyAlignment="1">
      <alignment horizontal="right"/>
    </xf>
    <xf numFmtId="167" fontId="66" fillId="7" borderId="17" xfId="6" applyNumberFormat="1" applyFont="1" applyFill="1" applyBorder="1"/>
    <xf numFmtId="167" fontId="180" fillId="0" borderId="0" xfId="0" applyNumberFormat="1" applyFont="1"/>
    <xf numFmtId="170" fontId="181" fillId="46" borderId="15" xfId="6" applyNumberFormat="1" applyFont="1" applyFill="1" applyBorder="1"/>
    <xf numFmtId="0" fontId="47" fillId="46" borderId="0" xfId="0" applyFont="1" applyFill="1"/>
    <xf numFmtId="0" fontId="77" fillId="46" borderId="0" xfId="0" applyFont="1" applyFill="1"/>
    <xf numFmtId="0" fontId="46" fillId="0" borderId="0" xfId="83" applyFont="1" applyFill="1" applyBorder="1" applyAlignment="1">
      <alignment horizontal="center"/>
    </xf>
    <xf numFmtId="0" fontId="98" fillId="0" borderId="16" xfId="0" applyFont="1" applyBorder="1" applyAlignment="1">
      <alignment horizontal="center"/>
    </xf>
    <xf numFmtId="3" fontId="127" fillId="0" borderId="15" xfId="83" applyNumberFormat="1" applyFont="1" applyFill="1" applyBorder="1" applyAlignment="1">
      <alignment horizontal="center"/>
    </xf>
    <xf numFmtId="3" fontId="127" fillId="0" borderId="16" xfId="83" applyNumberFormat="1" applyFont="1" applyFill="1" applyBorder="1" applyAlignment="1">
      <alignment horizontal="center"/>
    </xf>
    <xf numFmtId="167" fontId="75" fillId="0" borderId="0" xfId="5" applyNumberFormat="1" applyFont="1"/>
    <xf numFmtId="167" fontId="75" fillId="0" borderId="0" xfId="0" applyNumberFormat="1" applyFont="1"/>
    <xf numFmtId="3" fontId="101" fillId="0" borderId="0" xfId="0" applyNumberFormat="1" applyFont="1"/>
    <xf numFmtId="167" fontId="180" fillId="0" borderId="0" xfId="0" applyNumberFormat="1" applyFont="1" applyAlignment="1">
      <alignment vertical="top"/>
    </xf>
    <xf numFmtId="3" fontId="52" fillId="9" borderId="0" xfId="0" applyNumberFormat="1" applyFont="1" applyFill="1"/>
    <xf numFmtId="14" fontId="47" fillId="0" borderId="0" xfId="0" quotePrefix="1" applyNumberFormat="1" applyFont="1"/>
    <xf numFmtId="0" fontId="92" fillId="0" borderId="4" xfId="83" applyFont="1" applyFill="1" applyBorder="1"/>
    <xf numFmtId="0" fontId="92" fillId="0" borderId="0" xfId="0" applyFont="1"/>
    <xf numFmtId="0" fontId="92" fillId="0" borderId="15" xfId="0" applyFont="1" applyBorder="1" applyAlignment="1">
      <alignment horizontal="center"/>
    </xf>
    <xf numFmtId="0" fontId="47" fillId="0" borderId="4" xfId="5" applyFont="1" applyBorder="1" applyAlignment="1">
      <alignment vertical="top" wrapText="1"/>
    </xf>
    <xf numFmtId="0" fontId="160" fillId="0" borderId="4" xfId="0" applyFont="1" applyBorder="1" applyAlignment="1">
      <alignment wrapText="1"/>
    </xf>
    <xf numFmtId="0" fontId="160" fillId="0" borderId="6" xfId="0" applyFont="1" applyBorder="1" applyAlignment="1">
      <alignment wrapText="1"/>
    </xf>
    <xf numFmtId="0" fontId="47" fillId="0" borderId="12" xfId="90" applyBorder="1"/>
    <xf numFmtId="3" fontId="127" fillId="0" borderId="16" xfId="83" applyNumberFormat="1" applyFont="1" applyFill="1" applyBorder="1" applyAlignment="1">
      <alignment horizontal="right"/>
    </xf>
    <xf numFmtId="0" fontId="141" fillId="0" borderId="0" xfId="83" applyFont="1" applyFill="1" applyBorder="1"/>
    <xf numFmtId="0" fontId="127" fillId="0" borderId="4" xfId="5" applyFont="1" applyFill="1" applyBorder="1" applyAlignment="1">
      <alignment wrapText="1"/>
    </xf>
    <xf numFmtId="0" fontId="127" fillId="0" borderId="0" xfId="83" applyFont="1" applyFill="1" applyBorder="1" applyAlignment="1">
      <alignment vertical="top"/>
    </xf>
    <xf numFmtId="0" fontId="56" fillId="0" borderId="18" xfId="83" applyFont="1" applyFill="1" applyBorder="1" applyAlignment="1">
      <alignment horizontal="right"/>
    </xf>
    <xf numFmtId="0" fontId="7" fillId="0" borderId="11" xfId="83" applyFont="1" applyFill="1" applyBorder="1" applyAlignment="1"/>
    <xf numFmtId="3" fontId="7" fillId="0" borderId="11" xfId="83" applyNumberFormat="1" applyFont="1" applyFill="1" applyBorder="1" applyAlignment="1">
      <alignment horizontal="right"/>
    </xf>
    <xf numFmtId="3" fontId="78" fillId="0" borderId="11" xfId="83" applyNumberFormat="1" applyFont="1" applyFill="1" applyBorder="1" applyAlignment="1">
      <alignment horizontal="right"/>
    </xf>
    <xf numFmtId="0" fontId="47" fillId="0" borderId="11" xfId="90" applyBorder="1"/>
    <xf numFmtId="0" fontId="47" fillId="0" borderId="13" xfId="90" applyBorder="1"/>
    <xf numFmtId="0" fontId="148" fillId="0" borderId="0" xfId="0" applyFont="1"/>
    <xf numFmtId="167" fontId="183" fillId="0" borderId="0" xfId="0" applyNumberFormat="1" applyFont="1"/>
    <xf numFmtId="1" fontId="46" fillId="0" borderId="4" xfId="0" applyNumberFormat="1" applyFont="1" applyBorder="1" applyAlignment="1" applyProtection="1">
      <alignment wrapText="1"/>
      <protection locked="0"/>
    </xf>
    <xf numFmtId="167" fontId="184" fillId="0" borderId="0" xfId="0" applyNumberFormat="1" applyFont="1"/>
    <xf numFmtId="167" fontId="184" fillId="0" borderId="0" xfId="0" applyNumberFormat="1" applyFont="1" applyAlignment="1">
      <alignment vertical="top"/>
    </xf>
    <xf numFmtId="0" fontId="121" fillId="0" borderId="0" xfId="0" applyFont="1" applyAlignment="1">
      <alignment wrapText="1"/>
    </xf>
    <xf numFmtId="14" fontId="47" fillId="0" borderId="0" xfId="0" applyNumberFormat="1" applyFont="1" applyAlignment="1">
      <alignment horizontal="left"/>
    </xf>
    <xf numFmtId="0" fontId="186" fillId="0" borderId="0" xfId="83" applyFont="1" applyFill="1" applyBorder="1"/>
    <xf numFmtId="16" fontId="73" fillId="0" borderId="0" xfId="0" applyNumberFormat="1" applyFont="1"/>
    <xf numFmtId="0" fontId="77" fillId="0" borderId="4" xfId="83" applyFont="1" applyFill="1" applyBorder="1"/>
    <xf numFmtId="0" fontId="47" fillId="47" borderId="0" xfId="0" applyFont="1" applyFill="1"/>
    <xf numFmtId="167" fontId="187" fillId="0" borderId="0" xfId="0" applyNumberFormat="1" applyFont="1"/>
    <xf numFmtId="167" fontId="188" fillId="0" borderId="0" xfId="0" applyNumberFormat="1" applyFont="1"/>
    <xf numFmtId="3" fontId="73" fillId="7" borderId="0" xfId="83" applyNumberFormat="1" applyFont="1" applyFill="1" applyBorder="1" applyAlignment="1">
      <alignment horizontal="right"/>
    </xf>
    <xf numFmtId="0" fontId="77" fillId="0" borderId="0" xfId="83" applyFont="1" applyFill="1" applyBorder="1" applyAlignment="1">
      <alignment vertical="top"/>
    </xf>
    <xf numFmtId="0" fontId="77" fillId="0" borderId="0" xfId="83" applyFont="1" applyFill="1" applyBorder="1" applyAlignment="1">
      <alignment horizontal="right"/>
    </xf>
    <xf numFmtId="177" fontId="77" fillId="0" borderId="0" xfId="5" applyNumberFormat="1" applyFont="1" applyFill="1" applyBorder="1" applyAlignment="1">
      <alignment vertical="top"/>
    </xf>
    <xf numFmtId="0" fontId="1" fillId="0" borderId="4" xfId="83" applyFont="1" applyFill="1" applyBorder="1"/>
    <xf numFmtId="0" fontId="1" fillId="0" borderId="0" xfId="83" applyFont="1" applyFill="1" applyBorder="1"/>
    <xf numFmtId="0" fontId="1" fillId="0" borderId="0" xfId="83" applyFont="1" applyFill="1" applyBorder="1" applyAlignment="1">
      <alignment horizontal="right"/>
    </xf>
    <xf numFmtId="3" fontId="1" fillId="0" borderId="0" xfId="83" applyNumberFormat="1" applyFont="1" applyFill="1" applyBorder="1" applyAlignment="1">
      <alignment horizontal="right"/>
    </xf>
    <xf numFmtId="3" fontId="1" fillId="0" borderId="11" xfId="83" applyNumberFormat="1" applyFont="1" applyFill="1" applyBorder="1" applyAlignment="1">
      <alignment horizontal="right"/>
    </xf>
    <xf numFmtId="0" fontId="75" fillId="0" borderId="0" xfId="90" applyFont="1"/>
    <xf numFmtId="167" fontId="189" fillId="0" borderId="0" xfId="0" applyNumberFormat="1" applyFont="1"/>
    <xf numFmtId="0" fontId="0" fillId="0" borderId="16" xfId="0" applyBorder="1"/>
    <xf numFmtId="0" fontId="92" fillId="0" borderId="0" xfId="0" applyFont="1" applyAlignment="1">
      <alignment wrapText="1"/>
    </xf>
    <xf numFmtId="0" fontId="75" fillId="0" borderId="0" xfId="90" applyFont="1" applyAlignment="1">
      <alignment wrapText="1"/>
    </xf>
    <xf numFmtId="0" fontId="56" fillId="0" borderId="18" xfId="83" applyFont="1" applyFill="1" applyBorder="1" applyAlignment="1">
      <alignment horizontal="center"/>
    </xf>
    <xf numFmtId="3" fontId="56" fillId="0" borderId="11" xfId="83" applyNumberFormat="1" applyFont="1" applyFill="1" applyBorder="1" applyAlignment="1">
      <alignment horizontal="center"/>
    </xf>
    <xf numFmtId="3" fontId="77" fillId="0" borderId="11" xfId="83" applyNumberFormat="1" applyFont="1" applyFill="1" applyBorder="1" applyAlignment="1">
      <alignment horizontal="left"/>
    </xf>
    <xf numFmtId="3" fontId="126" fillId="0" borderId="11" xfId="83" applyNumberFormat="1" applyFont="1" applyFill="1" applyBorder="1" applyAlignment="1">
      <alignment horizontal="right"/>
    </xf>
    <xf numFmtId="3" fontId="174" fillId="0" borderId="11" xfId="83" applyNumberFormat="1" applyFont="1" applyFill="1" applyBorder="1" applyAlignment="1">
      <alignment horizontal="right"/>
    </xf>
    <xf numFmtId="0" fontId="127" fillId="0" borderId="11" xfId="90" applyFont="1" applyBorder="1"/>
    <xf numFmtId="3" fontId="56" fillId="0" borderId="11" xfId="83" applyNumberFormat="1" applyFont="1" applyFill="1" applyBorder="1" applyAlignment="1">
      <alignment horizontal="right"/>
    </xf>
    <xf numFmtId="0" fontId="190" fillId="0" borderId="4" xfId="90" applyFont="1" applyBorder="1"/>
    <xf numFmtId="0" fontId="46" fillId="0" borderId="18" xfId="90" applyFont="1" applyBorder="1"/>
    <xf numFmtId="0" fontId="46" fillId="0" borderId="13" xfId="90" applyFont="1" applyBorder="1" applyAlignment="1">
      <alignment horizontal="left"/>
    </xf>
    <xf numFmtId="0" fontId="127" fillId="0" borderId="11" xfId="90" applyFont="1" applyBorder="1" applyAlignment="1">
      <alignment horizontal="center"/>
    </xf>
    <xf numFmtId="0" fontId="47" fillId="0" borderId="18" xfId="90" applyBorder="1"/>
    <xf numFmtId="0" fontId="127" fillId="0" borderId="11" xfId="90" applyFont="1" applyBorder="1" applyAlignment="1">
      <alignment vertical="top"/>
    </xf>
    <xf numFmtId="0" fontId="121" fillId="0" borderId="11" xfId="90" applyFont="1" applyBorder="1" applyAlignment="1">
      <alignment vertical="top"/>
    </xf>
    <xf numFmtId="0" fontId="157" fillId="0" borderId="11" xfId="90" applyFont="1" applyBorder="1" applyAlignment="1">
      <alignment vertical="top"/>
    </xf>
    <xf numFmtId="0" fontId="157" fillId="42" borderId="11" xfId="90" applyFont="1" applyFill="1" applyBorder="1" applyAlignment="1">
      <alignment horizontal="center" vertical="top"/>
    </xf>
    <xf numFmtId="0" fontId="121" fillId="0" borderId="0" xfId="83" applyFont="1" applyFill="1" applyBorder="1" applyAlignment="1">
      <alignment vertical="top"/>
    </xf>
    <xf numFmtId="0" fontId="121" fillId="0" borderId="0" xfId="83" applyFont="1" applyFill="1" applyBorder="1" applyAlignment="1">
      <alignment horizontal="right"/>
    </xf>
    <xf numFmtId="3" fontId="121" fillId="0" borderId="0" xfId="83" applyNumberFormat="1" applyFont="1" applyFill="1" applyBorder="1" applyAlignment="1">
      <alignment horizontal="right"/>
    </xf>
    <xf numFmtId="3" fontId="121" fillId="0" borderId="15" xfId="83" applyNumberFormat="1" applyFont="1" applyFill="1" applyBorder="1" applyAlignment="1">
      <alignment horizontal="right"/>
    </xf>
    <xf numFmtId="177" fontId="121" fillId="0" borderId="0" xfId="5" applyNumberFormat="1" applyFont="1" applyFill="1" applyBorder="1" applyAlignment="1">
      <alignment vertical="top"/>
    </xf>
    <xf numFmtId="0" fontId="75" fillId="0" borderId="0" xfId="7" applyFont="1"/>
    <xf numFmtId="167" fontId="191" fillId="0" borderId="0" xfId="0" applyNumberFormat="1" applyFont="1"/>
    <xf numFmtId="3" fontId="77" fillId="0" borderId="34" xfId="83" applyNumberFormat="1" applyFont="1" applyFill="1" applyBorder="1" applyAlignment="1">
      <alignment horizontal="right"/>
    </xf>
    <xf numFmtId="0" fontId="193" fillId="0" borderId="4" xfId="0" applyFont="1" applyBorder="1" applyAlignment="1">
      <alignment wrapText="1"/>
    </xf>
    <xf numFmtId="0" fontId="47" fillId="43" borderId="16" xfId="7" applyFill="1" applyBorder="1"/>
    <xf numFmtId="174" fontId="66" fillId="43" borderId="13" xfId="7" applyNumberFormat="1" applyFont="1" applyFill="1" applyBorder="1"/>
    <xf numFmtId="0" fontId="127" fillId="0" borderId="16" xfId="90" applyFont="1" applyBorder="1" applyAlignment="1">
      <alignment horizontal="center"/>
    </xf>
    <xf numFmtId="167" fontId="194" fillId="0" borderId="0" xfId="0" applyNumberFormat="1" applyFont="1"/>
    <xf numFmtId="0" fontId="194" fillId="0" borderId="0" xfId="5" applyFont="1" applyFill="1" applyAlignment="1"/>
    <xf numFmtId="0" fontId="194" fillId="0" borderId="0" xfId="5" applyFont="1" applyFill="1" applyAlignment="1">
      <alignment horizontal="center" vertical="top"/>
    </xf>
    <xf numFmtId="167" fontId="194" fillId="0" borderId="0" xfId="5" applyNumberFormat="1" applyFont="1" applyFill="1" applyAlignment="1">
      <alignment vertical="top"/>
    </xf>
    <xf numFmtId="0" fontId="73" fillId="0" borderId="0" xfId="83" applyFont="1" applyFill="1" applyBorder="1" applyAlignment="1"/>
    <xf numFmtId="0" fontId="77" fillId="0" borderId="11" xfId="90" applyFont="1" applyBorder="1" applyAlignment="1">
      <alignment vertical="top"/>
    </xf>
    <xf numFmtId="0" fontId="77" fillId="0" borderId="11" xfId="90" applyFont="1" applyBorder="1" applyAlignment="1">
      <alignment horizontal="center"/>
    </xf>
    <xf numFmtId="0" fontId="77" fillId="0" borderId="11" xfId="90" applyFont="1" applyBorder="1"/>
    <xf numFmtId="0" fontId="73" fillId="0" borderId="11" xfId="83" applyFont="1" applyFill="1" applyBorder="1" applyAlignment="1"/>
    <xf numFmtId="0" fontId="77" fillId="0" borderId="11" xfId="0" applyFont="1" applyBorder="1"/>
    <xf numFmtId="0" fontId="77" fillId="0" borderId="4" xfId="83" applyFont="1" applyFill="1" applyBorder="1" applyAlignment="1">
      <alignment wrapText="1"/>
    </xf>
    <xf numFmtId="0" fontId="197" fillId="0" borderId="0" xfId="83" applyFont="1" applyFill="1" applyBorder="1"/>
    <xf numFmtId="0" fontId="197" fillId="0" borderId="0" xfId="83" applyFont="1" applyFill="1" applyBorder="1" applyAlignment="1">
      <alignment horizontal="right"/>
    </xf>
    <xf numFmtId="0" fontId="77" fillId="0" borderId="0" xfId="83" applyFont="1" applyFill="1" applyBorder="1" applyAlignment="1"/>
    <xf numFmtId="3" fontId="185" fillId="0" borderId="11" xfId="83" applyNumberFormat="1" applyFont="1" applyFill="1" applyBorder="1" applyAlignment="1">
      <alignment horizontal="right"/>
    </xf>
    <xf numFmtId="0" fontId="77" fillId="0" borderId="0" xfId="83" applyFont="1" applyFill="1" applyBorder="1"/>
    <xf numFmtId="3" fontId="77" fillId="0" borderId="0" xfId="0" applyNumberFormat="1" applyFont="1"/>
    <xf numFmtId="0" fontId="143" fillId="0" borderId="4" xfId="0" applyFont="1" applyBorder="1" applyAlignment="1">
      <alignment wrapText="1"/>
    </xf>
    <xf numFmtId="0" fontId="190" fillId="0" borderId="4" xfId="0" applyFont="1" applyBorder="1" applyAlignment="1">
      <alignment wrapText="1"/>
    </xf>
    <xf numFmtId="0" fontId="174" fillId="0" borderId="11" xfId="90" applyFont="1" applyBorder="1" applyAlignment="1">
      <alignment horizontal="center" vertical="top"/>
    </xf>
    <xf numFmtId="0" fontId="197" fillId="0" borderId="0" xfId="83" applyFont="1" applyFill="1" applyBorder="1" applyAlignment="1"/>
    <xf numFmtId="0" fontId="174" fillId="0" borderId="11" xfId="90" applyFont="1" applyBorder="1" applyAlignment="1">
      <alignment vertical="top"/>
    </xf>
    <xf numFmtId="0" fontId="185" fillId="0" borderId="4" xfId="83" applyFont="1" applyFill="1" applyBorder="1" applyAlignment="1">
      <alignment wrapText="1"/>
    </xf>
    <xf numFmtId="0" fontId="74" fillId="0" borderId="0" xfId="83" applyFont="1" applyFill="1" applyBorder="1" applyAlignment="1"/>
    <xf numFmtId="0" fontId="77" fillId="0" borderId="4" xfId="90" applyFont="1" applyBorder="1" applyAlignment="1">
      <alignment wrapText="1"/>
    </xf>
    <xf numFmtId="0" fontId="73" fillId="0" borderId="0" xfId="90" applyFont="1"/>
    <xf numFmtId="0" fontId="174" fillId="0" borderId="4" xfId="83" applyFont="1" applyFill="1" applyBorder="1" applyAlignment="1">
      <alignment wrapText="1"/>
    </xf>
    <xf numFmtId="0" fontId="174" fillId="0" borderId="0" xfId="83" applyFont="1" applyFill="1" applyBorder="1"/>
    <xf numFmtId="0" fontId="174" fillId="0" borderId="0" xfId="83" applyFont="1" applyFill="1" applyBorder="1" applyAlignment="1">
      <alignment horizontal="right"/>
    </xf>
    <xf numFmtId="1" fontId="73" fillId="0" borderId="0" xfId="83" applyNumberFormat="1" applyFont="1" applyFill="1" applyBorder="1" applyAlignment="1"/>
    <xf numFmtId="3" fontId="73" fillId="0" borderId="0" xfId="83" applyNumberFormat="1" applyFont="1" applyFill="1" applyBorder="1"/>
    <xf numFmtId="0" fontId="47" fillId="0" borderId="11" xfId="90" applyBorder="1" applyAlignment="1">
      <alignment vertical="top"/>
    </xf>
    <xf numFmtId="0" fontId="185" fillId="0" borderId="4" xfId="83" applyFont="1" applyFill="1" applyBorder="1" applyAlignment="1"/>
    <xf numFmtId="3" fontId="197" fillId="0" borderId="0" xfId="83" applyNumberFormat="1" applyFont="1" applyFill="1" applyBorder="1" applyAlignment="1">
      <alignment horizontal="right"/>
    </xf>
    <xf numFmtId="3" fontId="197" fillId="0" borderId="11" xfId="83" applyNumberFormat="1" applyFont="1" applyFill="1" applyBorder="1" applyAlignment="1">
      <alignment horizontal="right"/>
    </xf>
    <xf numFmtId="0" fontId="198" fillId="0" borderId="4" xfId="90" applyFont="1" applyBorder="1" applyAlignment="1">
      <alignment wrapText="1"/>
    </xf>
    <xf numFmtId="0" fontId="77" fillId="0" borderId="11" xfId="90" applyFont="1" applyBorder="1" applyAlignment="1">
      <alignment horizontal="center" vertical="top"/>
    </xf>
    <xf numFmtId="0" fontId="77" fillId="0" borderId="4" xfId="90" applyFont="1" applyBorder="1" applyAlignment="1">
      <alignment vertical="top"/>
    </xf>
    <xf numFmtId="0" fontId="74" fillId="0" borderId="0" xfId="83" applyFont="1" applyFill="1" applyBorder="1" applyAlignment="1">
      <alignment vertical="top"/>
    </xf>
    <xf numFmtId="170" fontId="73" fillId="0" borderId="0" xfId="83" applyNumberFormat="1" applyFont="1" applyFill="1" applyBorder="1" applyAlignment="1">
      <alignment horizontal="right"/>
    </xf>
    <xf numFmtId="0" fontId="73" fillId="0" borderId="12" xfId="83" applyFont="1" applyFill="1" applyBorder="1"/>
    <xf numFmtId="0" fontId="73" fillId="0" borderId="12" xfId="83" applyFont="1" applyFill="1" applyBorder="1" applyAlignment="1"/>
    <xf numFmtId="0" fontId="197" fillId="0" borderId="12" xfId="83" applyFont="1" applyFill="1" applyBorder="1" applyAlignment="1">
      <alignment horizontal="right"/>
    </xf>
    <xf numFmtId="3" fontId="199" fillId="0" borderId="12" xfId="83" applyNumberFormat="1" applyFont="1" applyFill="1" applyBorder="1" applyAlignment="1">
      <alignment horizontal="right"/>
    </xf>
    <xf numFmtId="3" fontId="73" fillId="0" borderId="12" xfId="83" applyNumberFormat="1" applyFont="1" applyFill="1" applyBorder="1" applyAlignment="1">
      <alignment horizontal="right"/>
    </xf>
    <xf numFmtId="3" fontId="73" fillId="0" borderId="13" xfId="83" applyNumberFormat="1" applyFont="1" applyFill="1" applyBorder="1" applyAlignment="1">
      <alignment horizontal="right"/>
    </xf>
    <xf numFmtId="3" fontId="77" fillId="0" borderId="13" xfId="83" applyNumberFormat="1" applyFont="1" applyFill="1" applyBorder="1" applyAlignment="1">
      <alignment horizontal="right"/>
    </xf>
    <xf numFmtId="0" fontId="77" fillId="0" borderId="13" xfId="90" applyFont="1" applyBorder="1" applyAlignment="1">
      <alignment vertical="top"/>
    </xf>
    <xf numFmtId="0" fontId="77" fillId="0" borderId="13" xfId="90" applyFont="1" applyBorder="1" applyAlignment="1">
      <alignment horizontal="center"/>
    </xf>
    <xf numFmtId="3" fontId="199" fillId="0" borderId="0" xfId="83" applyNumberFormat="1" applyFont="1" applyFill="1" applyBorder="1" applyAlignment="1">
      <alignment horizontal="right"/>
    </xf>
    <xf numFmtId="0" fontId="77" fillId="0" borderId="0" xfId="90" applyFont="1" applyAlignment="1">
      <alignment vertical="top"/>
    </xf>
    <xf numFmtId="0" fontId="77" fillId="0" borderId="15" xfId="90" applyFont="1" applyBorder="1" applyAlignment="1">
      <alignment horizontal="center"/>
    </xf>
    <xf numFmtId="0" fontId="47" fillId="0" borderId="0" xfId="90" applyAlignment="1">
      <alignment vertical="top"/>
    </xf>
    <xf numFmtId="3" fontId="73" fillId="0" borderId="15" xfId="83" applyNumberFormat="1" applyFont="1" applyFill="1" applyBorder="1" applyAlignment="1">
      <alignment horizontal="right"/>
    </xf>
    <xf numFmtId="0" fontId="101" fillId="0" borderId="0" xfId="0" applyFont="1" applyAlignment="1">
      <alignment vertical="top"/>
    </xf>
    <xf numFmtId="0" fontId="101" fillId="0" borderId="15" xfId="0" applyFont="1" applyBorder="1" applyAlignment="1">
      <alignment horizontal="center"/>
    </xf>
    <xf numFmtId="0" fontId="127" fillId="0" borderId="0" xfId="0" applyFont="1"/>
    <xf numFmtId="177" fontId="127" fillId="0" borderId="0" xfId="0" applyNumberFormat="1" applyFont="1" applyAlignment="1">
      <alignment vertical="top"/>
    </xf>
    <xf numFmtId="0" fontId="143" fillId="0" borderId="4" xfId="0" applyFont="1" applyBorder="1" applyAlignment="1">
      <alignment vertical="top" wrapText="1"/>
    </xf>
    <xf numFmtId="0" fontId="144" fillId="0" borderId="4" xfId="0" applyFont="1" applyBorder="1" applyAlignment="1">
      <alignment wrapText="1"/>
    </xf>
    <xf numFmtId="0" fontId="101" fillId="0" borderId="0" xfId="0" applyFont="1" applyAlignment="1">
      <alignment horizontal="right"/>
    </xf>
    <xf numFmtId="0" fontId="127" fillId="0" borderId="4" xfId="0" applyFont="1" applyBorder="1" applyAlignment="1">
      <alignment vertical="top" wrapText="1"/>
    </xf>
    <xf numFmtId="0" fontId="144" fillId="0" borderId="4" xfId="0" applyFont="1" applyBorder="1" applyAlignment="1">
      <alignment vertical="center" wrapText="1"/>
    </xf>
    <xf numFmtId="0" fontId="121" fillId="0" borderId="15" xfId="0" applyFont="1" applyBorder="1" applyAlignment="1">
      <alignment horizontal="center"/>
    </xf>
    <xf numFmtId="0" fontId="77" fillId="0" borderId="15" xfId="0" applyFont="1" applyBorder="1" applyAlignment="1">
      <alignment horizontal="center"/>
    </xf>
    <xf numFmtId="0" fontId="77" fillId="0" borderId="0" xfId="0" applyFont="1" applyAlignment="1">
      <alignment horizontal="center"/>
    </xf>
    <xf numFmtId="177" fontId="77" fillId="0" borderId="0" xfId="0" applyNumberFormat="1" applyFont="1" applyAlignment="1">
      <alignment vertical="top"/>
    </xf>
    <xf numFmtId="177" fontId="127" fillId="0" borderId="0" xfId="0" applyNumberFormat="1" applyFont="1"/>
    <xf numFmtId="0" fontId="149" fillId="0" borderId="4" xfId="0" applyFont="1" applyBorder="1" applyAlignment="1">
      <alignment vertical="top"/>
    </xf>
    <xf numFmtId="0" fontId="107" fillId="0" borderId="15" xfId="0" applyFont="1" applyBorder="1" applyAlignment="1">
      <alignment horizontal="center" vertical="top"/>
    </xf>
    <xf numFmtId="0" fontId="132" fillId="0" borderId="15" xfId="0" applyFont="1" applyBorder="1" applyAlignment="1">
      <alignment horizontal="center"/>
    </xf>
    <xf numFmtId="0" fontId="131" fillId="0" borderId="0" xfId="0" applyFont="1"/>
    <xf numFmtId="0" fontId="149" fillId="0" borderId="0" xfId="0" applyFont="1" applyAlignment="1">
      <alignment vertical="top"/>
    </xf>
    <xf numFmtId="0" fontId="142" fillId="0" borderId="4" xfId="0" applyFont="1" applyBorder="1" applyAlignment="1">
      <alignment vertical="top"/>
    </xf>
    <xf numFmtId="0" fontId="163" fillId="0" borderId="15" xfId="0" applyFont="1" applyBorder="1" applyAlignment="1">
      <alignment horizontal="center"/>
    </xf>
    <xf numFmtId="0" fontId="115" fillId="0" borderId="15" xfId="0" applyFont="1" applyBorder="1" applyAlignment="1">
      <alignment horizontal="center"/>
    </xf>
    <xf numFmtId="0" fontId="106" fillId="0" borderId="14" xfId="0" applyFont="1" applyBorder="1" applyAlignment="1">
      <alignment horizontal="center" vertical="top" wrapText="1"/>
    </xf>
    <xf numFmtId="0" fontId="106" fillId="0" borderId="17" xfId="0" applyFont="1" applyBorder="1" applyAlignment="1">
      <alignment horizontal="center" wrapText="1"/>
    </xf>
    <xf numFmtId="0" fontId="161" fillId="0" borderId="4" xfId="0" applyFont="1" applyBorder="1" applyAlignment="1">
      <alignment vertical="top"/>
    </xf>
    <xf numFmtId="0" fontId="162" fillId="0" borderId="0" xfId="0" applyFont="1"/>
    <xf numFmtId="0" fontId="139" fillId="0" borderId="15" xfId="0" applyFont="1" applyBorder="1" applyAlignment="1">
      <alignment horizontal="center"/>
    </xf>
    <xf numFmtId="0" fontId="138" fillId="0" borderId="0" xfId="0" applyFont="1"/>
    <xf numFmtId="0" fontId="65" fillId="0" borderId="0" xfId="0" applyFont="1" applyAlignment="1">
      <alignment vertical="top"/>
    </xf>
    <xf numFmtId="0" fontId="149" fillId="0" borderId="4" xfId="0" quotePrefix="1" applyFont="1" applyBorder="1" applyAlignment="1">
      <alignment vertical="top"/>
    </xf>
    <xf numFmtId="0" fontId="136" fillId="0" borderId="15" xfId="0" applyFont="1" applyBorder="1" applyAlignment="1">
      <alignment horizontal="center"/>
    </xf>
    <xf numFmtId="0" fontId="135" fillId="0" borderId="0" xfId="0" applyFont="1"/>
    <xf numFmtId="0" fontId="195" fillId="0" borderId="4" xfId="0" quotePrefix="1" applyFont="1" applyBorder="1" applyAlignment="1">
      <alignment vertical="top"/>
    </xf>
    <xf numFmtId="0" fontId="196" fillId="0" borderId="15" xfId="0" applyFont="1" applyBorder="1" applyAlignment="1">
      <alignment horizontal="center" vertical="top"/>
    </xf>
    <xf numFmtId="0" fontId="196" fillId="0" borderId="15" xfId="0" applyFont="1" applyBorder="1" applyAlignment="1">
      <alignment horizontal="center"/>
    </xf>
    <xf numFmtId="0" fontId="194" fillId="0" borderId="0" xfId="0" applyFont="1"/>
    <xf numFmtId="49" fontId="78" fillId="0" borderId="4" xfId="0" applyNumberFormat="1" applyFont="1" applyBorder="1" applyAlignment="1">
      <alignment horizontal="left" vertical="top"/>
    </xf>
    <xf numFmtId="0" fontId="114" fillId="0" borderId="0" xfId="0" applyFont="1"/>
    <xf numFmtId="49" fontId="126" fillId="0" borderId="31" xfId="0" applyNumberFormat="1" applyFont="1" applyBorder="1" applyAlignment="1">
      <alignment horizontal="left" vertical="top"/>
    </xf>
    <xf numFmtId="0" fontId="172" fillId="0" borderId="4" xfId="0" applyFont="1" applyBorder="1" applyAlignment="1">
      <alignment vertical="top"/>
    </xf>
    <xf numFmtId="0" fontId="173" fillId="0" borderId="15" xfId="0" applyFont="1" applyBorder="1" applyAlignment="1">
      <alignment horizontal="center"/>
    </xf>
    <xf numFmtId="0" fontId="171" fillId="0" borderId="0" xfId="0" applyFont="1"/>
    <xf numFmtId="0" fontId="103" fillId="0" borderId="0" xfId="0" applyFont="1" applyAlignment="1">
      <alignment wrapText="1"/>
    </xf>
    <xf numFmtId="0" fontId="74" fillId="0" borderId="31" xfId="0" applyFont="1" applyBorder="1"/>
    <xf numFmtId="0" fontId="74" fillId="0" borderId="31" xfId="83" applyFont="1" applyFill="1" applyBorder="1"/>
    <xf numFmtId="49" fontId="185" fillId="0" borderId="31" xfId="0" applyNumberFormat="1" applyFont="1" applyBorder="1" applyAlignment="1">
      <alignment horizontal="left" vertical="top"/>
    </xf>
    <xf numFmtId="49" fontId="77" fillId="0" borderId="31" xfId="0" applyNumberFormat="1" applyFont="1" applyBorder="1" applyAlignment="1">
      <alignment horizontal="left" vertical="top"/>
    </xf>
    <xf numFmtId="0" fontId="77" fillId="0" borderId="0" xfId="0" applyFont="1" applyAlignment="1">
      <alignment wrapText="1"/>
    </xf>
    <xf numFmtId="0" fontId="149" fillId="0" borderId="4" xfId="0" applyFont="1" applyBorder="1"/>
    <xf numFmtId="0" fontId="106" fillId="0" borderId="16" xfId="0" applyFont="1" applyBorder="1" applyAlignment="1">
      <alignment horizontal="center" vertical="top"/>
    </xf>
    <xf numFmtId="0" fontId="106" fillId="0" borderId="10" xfId="0" applyFont="1" applyBorder="1" applyAlignment="1">
      <alignment horizontal="center" vertical="top"/>
    </xf>
    <xf numFmtId="0" fontId="106" fillId="0" borderId="10" xfId="0" applyFont="1" applyBorder="1" applyAlignment="1">
      <alignment horizontal="center"/>
    </xf>
    <xf numFmtId="0" fontId="106" fillId="0" borderId="0" xfId="0" applyFont="1" applyAlignment="1">
      <alignment horizontal="center" vertical="top"/>
    </xf>
    <xf numFmtId="0" fontId="106" fillId="0" borderId="0" xfId="0" applyFont="1" applyAlignment="1">
      <alignment horizontal="center"/>
    </xf>
    <xf numFmtId="0" fontId="142" fillId="0" borderId="4" xfId="0" applyFont="1" applyBorder="1"/>
    <xf numFmtId="0" fontId="142" fillId="0" borderId="0" xfId="0" applyFont="1" applyAlignment="1">
      <alignment vertical="top"/>
    </xf>
    <xf numFmtId="0" fontId="109" fillId="0" borderId="15" xfId="0" applyFont="1" applyBorder="1" applyAlignment="1">
      <alignment horizontal="center"/>
    </xf>
    <xf numFmtId="0" fontId="103" fillId="0" borderId="0" xfId="5" applyFont="1" applyFill="1" applyAlignment="1">
      <alignment vertical="top" wrapText="1"/>
    </xf>
    <xf numFmtId="0" fontId="74" fillId="0" borderId="0" xfId="83" applyFont="1" applyFill="1" applyBorder="1" applyAlignment="1">
      <alignment wrapText="1"/>
    </xf>
    <xf numFmtId="0" fontId="74" fillId="0" borderId="0" xfId="0" applyFont="1" applyAlignment="1">
      <alignment wrapText="1"/>
    </xf>
    <xf numFmtId="0" fontId="74" fillId="0" borderId="31" xfId="0" applyFont="1" applyBorder="1" applyAlignment="1">
      <alignment horizontal="left" vertical="top"/>
    </xf>
    <xf numFmtId="176" fontId="47" fillId="0" borderId="0" xfId="0" applyNumberFormat="1" applyFont="1"/>
    <xf numFmtId="0" fontId="65" fillId="0" borderId="5" xfId="6" applyFont="1" applyFill="1" applyBorder="1"/>
    <xf numFmtId="0" fontId="46" fillId="0" borderId="0" xfId="5" applyFont="1" applyFill="1" applyAlignment="1">
      <alignment wrapText="1"/>
    </xf>
    <xf numFmtId="0" fontId="47" fillId="0" borderId="0" xfId="0" applyFont="1" applyAlignment="1">
      <alignment wrapText="1"/>
    </xf>
    <xf numFmtId="168" fontId="56" fillId="0" borderId="0" xfId="3" applyFont="1" applyFill="1" applyBorder="1">
      <alignment horizontal="left"/>
    </xf>
    <xf numFmtId="0" fontId="49" fillId="0" borderId="0" xfId="5" applyFont="1" applyFill="1" applyAlignment="1">
      <alignment wrapText="1"/>
    </xf>
    <xf numFmtId="0" fontId="66" fillId="0" borderId="0" xfId="5" applyFont="1" applyFill="1" applyAlignment="1">
      <alignment wrapText="1"/>
    </xf>
    <xf numFmtId="0" fontId="65" fillId="0" borderId="0" xfId="0" applyFont="1" applyAlignment="1">
      <alignment wrapText="1"/>
    </xf>
    <xf numFmtId="0" fontId="53" fillId="0" borderId="0" xfId="5" applyFont="1" applyAlignment="1">
      <alignment wrapText="1"/>
    </xf>
    <xf numFmtId="0" fontId="164" fillId="0" borderId="0" xfId="0" applyFont="1" applyAlignment="1">
      <alignment wrapText="1"/>
    </xf>
    <xf numFmtId="168" fontId="56" fillId="2" borderId="0" xfId="3" applyFont="1" applyBorder="1">
      <alignment horizontal="left"/>
    </xf>
    <xf numFmtId="0" fontId="49" fillId="0" borderId="0" xfId="83" applyFont="1" applyFill="1" applyAlignment="1">
      <alignment wrapText="1"/>
    </xf>
    <xf numFmtId="0" fontId="0" fillId="0" borderId="0" xfId="0" applyAlignment="1">
      <alignment wrapText="1"/>
    </xf>
    <xf numFmtId="0" fontId="73" fillId="0" borderId="6" xfId="0" applyFont="1" applyBorder="1" applyAlignment="1">
      <alignment horizontal="left" wrapText="1"/>
    </xf>
    <xf numFmtId="0" fontId="73" fillId="0" borderId="12" xfId="0" applyFont="1" applyBorder="1" applyAlignment="1">
      <alignment horizontal="left" wrapText="1"/>
    </xf>
    <xf numFmtId="0" fontId="73" fillId="0" borderId="4" xfId="0" applyFont="1" applyBorder="1" applyAlignment="1">
      <alignment horizontal="left" wrapText="1"/>
    </xf>
    <xf numFmtId="0" fontId="73" fillId="0" borderId="0" xfId="0" applyFont="1" applyAlignment="1">
      <alignment horizontal="left" wrapText="1"/>
    </xf>
    <xf numFmtId="167" fontId="47" fillId="4" borderId="5" xfId="6" applyNumberFormat="1" applyFill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8" xfId="0" applyBorder="1"/>
    <xf numFmtId="0" fontId="49" fillId="0" borderId="0" xfId="5" applyFont="1" applyAlignment="1">
      <alignment wrapText="1"/>
    </xf>
    <xf numFmtId="0" fontId="75" fillId="0" borderId="7" xfId="0" applyFont="1" applyBorder="1" applyAlignment="1">
      <alignment horizontal="center"/>
    </xf>
    <xf numFmtId="0" fontId="75" fillId="0" borderId="18" xfId="0" applyFont="1" applyBorder="1" applyAlignment="1">
      <alignment horizontal="center"/>
    </xf>
  </cellXfs>
  <cellStyles count="2146">
    <cellStyle name="1000-sep (2 dec) 2" xfId="84" xr:uid="{00000000-0005-0000-0000-000000000000}"/>
    <cellStyle name="1000-sep (2 dec) 2 2" xfId="632" xr:uid="{00000000-0005-0000-0000-000001000000}"/>
    <cellStyle name="1000-sep (2 dec) 2 2 2" xfId="1660" xr:uid="{00000000-0005-0000-0000-000002000000}"/>
    <cellStyle name="1000-sep (2 dec) 2 3" xfId="1147" xr:uid="{00000000-0005-0000-0000-000003000000}"/>
    <cellStyle name="1000-sep (2 dec) 3" xfId="26" xr:uid="{00000000-0005-0000-0000-000004000000}"/>
    <cellStyle name="1000-sep (2 dec) 3 2" xfId="56" xr:uid="{00000000-0005-0000-0000-000005000000}"/>
    <cellStyle name="1000-sep (2 dec) 3 2 2" xfId="119" xr:uid="{00000000-0005-0000-0000-000006000000}"/>
    <cellStyle name="1000-sep (2 dec) 3 2 2 2" xfId="666" xr:uid="{00000000-0005-0000-0000-000007000000}"/>
    <cellStyle name="1000-sep (2 dec) 3 2 2 2 2" xfId="1694" xr:uid="{00000000-0005-0000-0000-000008000000}"/>
    <cellStyle name="1000-sep (2 dec) 3 2 2 3" xfId="1181" xr:uid="{00000000-0005-0000-0000-000009000000}"/>
    <cellStyle name="1000-sep (2 dec) 3 2 3" xfId="610" xr:uid="{00000000-0005-0000-0000-00000A000000}"/>
    <cellStyle name="1000-sep (2 dec) 3 2 3 2" xfId="1638" xr:uid="{00000000-0005-0000-0000-00000B000000}"/>
    <cellStyle name="1000-sep (2 dec) 3 2 4" xfId="1125" xr:uid="{00000000-0005-0000-0000-00000C000000}"/>
    <cellStyle name="1000-sep (2 dec) 3 3" xfId="77" xr:uid="{00000000-0005-0000-0000-00000D000000}"/>
    <cellStyle name="1000-sep (2 dec) 3 3 2" xfId="136" xr:uid="{00000000-0005-0000-0000-00000E000000}"/>
    <cellStyle name="1000-sep (2 dec) 3 3 2 2" xfId="683" xr:uid="{00000000-0005-0000-0000-00000F000000}"/>
    <cellStyle name="1000-sep (2 dec) 3 3 2 2 2" xfId="1711" xr:uid="{00000000-0005-0000-0000-000010000000}"/>
    <cellStyle name="1000-sep (2 dec) 3 3 2 3" xfId="1198" xr:uid="{00000000-0005-0000-0000-000011000000}"/>
    <cellStyle name="1000-sep (2 dec) 3 3 3" xfId="627" xr:uid="{00000000-0005-0000-0000-000012000000}"/>
    <cellStyle name="1000-sep (2 dec) 3 3 3 2" xfId="1655" xr:uid="{00000000-0005-0000-0000-000013000000}"/>
    <cellStyle name="1000-sep (2 dec) 3 3 4" xfId="1142" xr:uid="{00000000-0005-0000-0000-000014000000}"/>
    <cellStyle name="1000-sep (2 dec) 3 4" xfId="103" xr:uid="{00000000-0005-0000-0000-000015000000}"/>
    <cellStyle name="1000-sep (2 dec) 3 4 2" xfId="650" xr:uid="{00000000-0005-0000-0000-000016000000}"/>
    <cellStyle name="1000-sep (2 dec) 3 4 2 2" xfId="1678" xr:uid="{00000000-0005-0000-0000-000017000000}"/>
    <cellStyle name="1000-sep (2 dec) 3 4 3" xfId="1165" xr:uid="{00000000-0005-0000-0000-000018000000}"/>
    <cellStyle name="1000-sep (2 dec) 3 5" xfId="594" xr:uid="{00000000-0005-0000-0000-000019000000}"/>
    <cellStyle name="1000-sep (2 dec) 3 5 2" xfId="1622" xr:uid="{00000000-0005-0000-0000-00001A000000}"/>
    <cellStyle name="1000-sep (2 dec) 3 6" xfId="1109" xr:uid="{00000000-0005-0000-0000-00001B000000}"/>
    <cellStyle name="20 % - Farve1" xfId="163" builtinId="30" customBuiltin="1"/>
    <cellStyle name="20 % - Farve1 2" xfId="364" xr:uid="{00000000-0005-0000-0000-00001D000000}"/>
    <cellStyle name="20 % - Farve1 2 2" xfId="878" xr:uid="{00000000-0005-0000-0000-00001E000000}"/>
    <cellStyle name="20 % - Farve1 2 2 2" xfId="1905" xr:uid="{00000000-0005-0000-0000-00001F000000}"/>
    <cellStyle name="20 % - Farve1 2 3" xfId="1392" xr:uid="{00000000-0005-0000-0000-000020000000}"/>
    <cellStyle name="20 % - Farve1 3" xfId="472" xr:uid="{00000000-0005-0000-0000-000021000000}"/>
    <cellStyle name="20 % - Farve1 3 2" xfId="986" xr:uid="{00000000-0005-0000-0000-000022000000}"/>
    <cellStyle name="20 % - Farve1 3 2 2" xfId="2013" xr:uid="{00000000-0005-0000-0000-000023000000}"/>
    <cellStyle name="20 % - Farve1 3 3" xfId="1500" xr:uid="{00000000-0005-0000-0000-000024000000}"/>
    <cellStyle name="20 % - Farve1 4" xfId="514" xr:uid="{00000000-0005-0000-0000-000025000000}"/>
    <cellStyle name="20 % - Farve1 4 2" xfId="1028" xr:uid="{00000000-0005-0000-0000-000026000000}"/>
    <cellStyle name="20 % - Farve1 4 2 2" xfId="2055" xr:uid="{00000000-0005-0000-0000-000027000000}"/>
    <cellStyle name="20 % - Farve1 4 3" xfId="1542" xr:uid="{00000000-0005-0000-0000-000028000000}"/>
    <cellStyle name="20 % - Farve1 5" xfId="528" xr:uid="{00000000-0005-0000-0000-000029000000}"/>
    <cellStyle name="20 % - Farve1 5 2" xfId="1042" xr:uid="{00000000-0005-0000-0000-00002A000000}"/>
    <cellStyle name="20 % - Farve1 5 2 2" xfId="2069" xr:uid="{00000000-0005-0000-0000-00002B000000}"/>
    <cellStyle name="20 % - Farve1 5 3" xfId="1556" xr:uid="{00000000-0005-0000-0000-00002C000000}"/>
    <cellStyle name="20 % - Farve1 6" xfId="570" xr:uid="{00000000-0005-0000-0000-00002D000000}"/>
    <cellStyle name="20 % - Farve1 6 2" xfId="1084" xr:uid="{00000000-0005-0000-0000-00002E000000}"/>
    <cellStyle name="20 % - Farve1 6 2 2" xfId="2111" xr:uid="{00000000-0005-0000-0000-00002F000000}"/>
    <cellStyle name="20 % - Farve1 6 3" xfId="1598" xr:uid="{00000000-0005-0000-0000-000030000000}"/>
    <cellStyle name="20 % - Farve1 7" xfId="694" xr:uid="{00000000-0005-0000-0000-000031000000}"/>
    <cellStyle name="20 % - Farve1 7 2" xfId="1722" xr:uid="{00000000-0005-0000-0000-000032000000}"/>
    <cellStyle name="20 % - Farve1 8" xfId="1209" xr:uid="{00000000-0005-0000-0000-000033000000}"/>
    <cellStyle name="20 % - Farve1 9" xfId="2128" xr:uid="{00000000-0005-0000-0000-000034000000}"/>
    <cellStyle name="20 % - Farve2" xfId="167" builtinId="34" customBuiltin="1"/>
    <cellStyle name="20 % - Farve2 2" xfId="366" xr:uid="{00000000-0005-0000-0000-000036000000}"/>
    <cellStyle name="20 % - Farve2 2 2" xfId="880" xr:uid="{00000000-0005-0000-0000-000037000000}"/>
    <cellStyle name="20 % - Farve2 2 2 2" xfId="1907" xr:uid="{00000000-0005-0000-0000-000038000000}"/>
    <cellStyle name="20 % - Farve2 2 3" xfId="1394" xr:uid="{00000000-0005-0000-0000-000039000000}"/>
    <cellStyle name="20 % - Farve2 3" xfId="474" xr:uid="{00000000-0005-0000-0000-00003A000000}"/>
    <cellStyle name="20 % - Farve2 3 2" xfId="988" xr:uid="{00000000-0005-0000-0000-00003B000000}"/>
    <cellStyle name="20 % - Farve2 3 2 2" xfId="2015" xr:uid="{00000000-0005-0000-0000-00003C000000}"/>
    <cellStyle name="20 % - Farve2 3 3" xfId="1502" xr:uid="{00000000-0005-0000-0000-00003D000000}"/>
    <cellStyle name="20 % - Farve2 4" xfId="516" xr:uid="{00000000-0005-0000-0000-00003E000000}"/>
    <cellStyle name="20 % - Farve2 4 2" xfId="1030" xr:uid="{00000000-0005-0000-0000-00003F000000}"/>
    <cellStyle name="20 % - Farve2 4 2 2" xfId="2057" xr:uid="{00000000-0005-0000-0000-000040000000}"/>
    <cellStyle name="20 % - Farve2 4 3" xfId="1544" xr:uid="{00000000-0005-0000-0000-000041000000}"/>
    <cellStyle name="20 % - Farve2 5" xfId="530" xr:uid="{00000000-0005-0000-0000-000042000000}"/>
    <cellStyle name="20 % - Farve2 5 2" xfId="1044" xr:uid="{00000000-0005-0000-0000-000043000000}"/>
    <cellStyle name="20 % - Farve2 5 2 2" xfId="2071" xr:uid="{00000000-0005-0000-0000-000044000000}"/>
    <cellStyle name="20 % - Farve2 5 3" xfId="1558" xr:uid="{00000000-0005-0000-0000-000045000000}"/>
    <cellStyle name="20 % - Farve2 6" xfId="572" xr:uid="{00000000-0005-0000-0000-000046000000}"/>
    <cellStyle name="20 % - Farve2 6 2" xfId="1086" xr:uid="{00000000-0005-0000-0000-000047000000}"/>
    <cellStyle name="20 % - Farve2 6 2 2" xfId="2113" xr:uid="{00000000-0005-0000-0000-000048000000}"/>
    <cellStyle name="20 % - Farve2 6 3" xfId="1600" xr:uid="{00000000-0005-0000-0000-000049000000}"/>
    <cellStyle name="20 % - Farve2 7" xfId="696" xr:uid="{00000000-0005-0000-0000-00004A000000}"/>
    <cellStyle name="20 % - Farve2 7 2" xfId="1724" xr:uid="{00000000-0005-0000-0000-00004B000000}"/>
    <cellStyle name="20 % - Farve2 8" xfId="1211" xr:uid="{00000000-0005-0000-0000-00004C000000}"/>
    <cellStyle name="20 % - Farve2 9" xfId="2131" xr:uid="{00000000-0005-0000-0000-00004D000000}"/>
    <cellStyle name="20 % - Farve3" xfId="171" builtinId="38" customBuiltin="1"/>
    <cellStyle name="20 % - Farve3 2" xfId="368" xr:uid="{00000000-0005-0000-0000-00004F000000}"/>
    <cellStyle name="20 % - Farve3 2 2" xfId="882" xr:uid="{00000000-0005-0000-0000-000050000000}"/>
    <cellStyle name="20 % - Farve3 2 2 2" xfId="1909" xr:uid="{00000000-0005-0000-0000-000051000000}"/>
    <cellStyle name="20 % - Farve3 2 3" xfId="1396" xr:uid="{00000000-0005-0000-0000-000052000000}"/>
    <cellStyle name="20 % - Farve3 3" xfId="476" xr:uid="{00000000-0005-0000-0000-000053000000}"/>
    <cellStyle name="20 % - Farve3 3 2" xfId="990" xr:uid="{00000000-0005-0000-0000-000054000000}"/>
    <cellStyle name="20 % - Farve3 3 2 2" xfId="2017" xr:uid="{00000000-0005-0000-0000-000055000000}"/>
    <cellStyle name="20 % - Farve3 3 3" xfId="1504" xr:uid="{00000000-0005-0000-0000-000056000000}"/>
    <cellStyle name="20 % - Farve3 4" xfId="518" xr:uid="{00000000-0005-0000-0000-000057000000}"/>
    <cellStyle name="20 % - Farve3 4 2" xfId="1032" xr:uid="{00000000-0005-0000-0000-000058000000}"/>
    <cellStyle name="20 % - Farve3 4 2 2" xfId="2059" xr:uid="{00000000-0005-0000-0000-000059000000}"/>
    <cellStyle name="20 % - Farve3 4 3" xfId="1546" xr:uid="{00000000-0005-0000-0000-00005A000000}"/>
    <cellStyle name="20 % - Farve3 5" xfId="532" xr:uid="{00000000-0005-0000-0000-00005B000000}"/>
    <cellStyle name="20 % - Farve3 5 2" xfId="1046" xr:uid="{00000000-0005-0000-0000-00005C000000}"/>
    <cellStyle name="20 % - Farve3 5 2 2" xfId="2073" xr:uid="{00000000-0005-0000-0000-00005D000000}"/>
    <cellStyle name="20 % - Farve3 5 3" xfId="1560" xr:uid="{00000000-0005-0000-0000-00005E000000}"/>
    <cellStyle name="20 % - Farve3 6" xfId="574" xr:uid="{00000000-0005-0000-0000-00005F000000}"/>
    <cellStyle name="20 % - Farve3 6 2" xfId="1088" xr:uid="{00000000-0005-0000-0000-000060000000}"/>
    <cellStyle name="20 % - Farve3 6 2 2" xfId="2115" xr:uid="{00000000-0005-0000-0000-000061000000}"/>
    <cellStyle name="20 % - Farve3 6 3" xfId="1602" xr:uid="{00000000-0005-0000-0000-000062000000}"/>
    <cellStyle name="20 % - Farve3 7" xfId="698" xr:uid="{00000000-0005-0000-0000-000063000000}"/>
    <cellStyle name="20 % - Farve3 7 2" xfId="1726" xr:uid="{00000000-0005-0000-0000-000064000000}"/>
    <cellStyle name="20 % - Farve3 8" xfId="1213" xr:uid="{00000000-0005-0000-0000-000065000000}"/>
    <cellStyle name="20 % - Farve3 9" xfId="2134" xr:uid="{00000000-0005-0000-0000-000066000000}"/>
    <cellStyle name="20 % - Farve4" xfId="175" builtinId="42" customBuiltin="1"/>
    <cellStyle name="20 % - Farve4 2" xfId="370" xr:uid="{00000000-0005-0000-0000-000068000000}"/>
    <cellStyle name="20 % - Farve4 2 2" xfId="884" xr:uid="{00000000-0005-0000-0000-000069000000}"/>
    <cellStyle name="20 % - Farve4 2 2 2" xfId="1911" xr:uid="{00000000-0005-0000-0000-00006A000000}"/>
    <cellStyle name="20 % - Farve4 2 3" xfId="1398" xr:uid="{00000000-0005-0000-0000-00006B000000}"/>
    <cellStyle name="20 % - Farve4 3" xfId="478" xr:uid="{00000000-0005-0000-0000-00006C000000}"/>
    <cellStyle name="20 % - Farve4 3 2" xfId="992" xr:uid="{00000000-0005-0000-0000-00006D000000}"/>
    <cellStyle name="20 % - Farve4 3 2 2" xfId="2019" xr:uid="{00000000-0005-0000-0000-00006E000000}"/>
    <cellStyle name="20 % - Farve4 3 3" xfId="1506" xr:uid="{00000000-0005-0000-0000-00006F000000}"/>
    <cellStyle name="20 % - Farve4 4" xfId="520" xr:uid="{00000000-0005-0000-0000-000070000000}"/>
    <cellStyle name="20 % - Farve4 4 2" xfId="1034" xr:uid="{00000000-0005-0000-0000-000071000000}"/>
    <cellStyle name="20 % - Farve4 4 2 2" xfId="2061" xr:uid="{00000000-0005-0000-0000-000072000000}"/>
    <cellStyle name="20 % - Farve4 4 3" xfId="1548" xr:uid="{00000000-0005-0000-0000-000073000000}"/>
    <cellStyle name="20 % - Farve4 5" xfId="534" xr:uid="{00000000-0005-0000-0000-000074000000}"/>
    <cellStyle name="20 % - Farve4 5 2" xfId="1048" xr:uid="{00000000-0005-0000-0000-000075000000}"/>
    <cellStyle name="20 % - Farve4 5 2 2" xfId="2075" xr:uid="{00000000-0005-0000-0000-000076000000}"/>
    <cellStyle name="20 % - Farve4 5 3" xfId="1562" xr:uid="{00000000-0005-0000-0000-000077000000}"/>
    <cellStyle name="20 % - Farve4 6" xfId="576" xr:uid="{00000000-0005-0000-0000-000078000000}"/>
    <cellStyle name="20 % - Farve4 6 2" xfId="1090" xr:uid="{00000000-0005-0000-0000-000079000000}"/>
    <cellStyle name="20 % - Farve4 6 2 2" xfId="2117" xr:uid="{00000000-0005-0000-0000-00007A000000}"/>
    <cellStyle name="20 % - Farve4 6 3" xfId="1604" xr:uid="{00000000-0005-0000-0000-00007B000000}"/>
    <cellStyle name="20 % - Farve4 7" xfId="700" xr:uid="{00000000-0005-0000-0000-00007C000000}"/>
    <cellStyle name="20 % - Farve4 7 2" xfId="1728" xr:uid="{00000000-0005-0000-0000-00007D000000}"/>
    <cellStyle name="20 % - Farve4 8" xfId="1215" xr:uid="{00000000-0005-0000-0000-00007E000000}"/>
    <cellStyle name="20 % - Farve4 9" xfId="2137" xr:uid="{00000000-0005-0000-0000-00007F000000}"/>
    <cellStyle name="20 % - Farve5" xfId="179" builtinId="46" customBuiltin="1"/>
    <cellStyle name="20 % - Farve5 2" xfId="372" xr:uid="{00000000-0005-0000-0000-000081000000}"/>
    <cellStyle name="20 % - Farve5 2 2" xfId="886" xr:uid="{00000000-0005-0000-0000-000082000000}"/>
    <cellStyle name="20 % - Farve5 2 2 2" xfId="1913" xr:uid="{00000000-0005-0000-0000-000083000000}"/>
    <cellStyle name="20 % - Farve5 2 3" xfId="1400" xr:uid="{00000000-0005-0000-0000-000084000000}"/>
    <cellStyle name="20 % - Farve5 3" xfId="480" xr:uid="{00000000-0005-0000-0000-000085000000}"/>
    <cellStyle name="20 % - Farve5 3 2" xfId="994" xr:uid="{00000000-0005-0000-0000-000086000000}"/>
    <cellStyle name="20 % - Farve5 3 2 2" xfId="2021" xr:uid="{00000000-0005-0000-0000-000087000000}"/>
    <cellStyle name="20 % - Farve5 3 3" xfId="1508" xr:uid="{00000000-0005-0000-0000-000088000000}"/>
    <cellStyle name="20 % - Farve5 4" xfId="522" xr:uid="{00000000-0005-0000-0000-000089000000}"/>
    <cellStyle name="20 % - Farve5 4 2" xfId="1036" xr:uid="{00000000-0005-0000-0000-00008A000000}"/>
    <cellStyle name="20 % - Farve5 4 2 2" xfId="2063" xr:uid="{00000000-0005-0000-0000-00008B000000}"/>
    <cellStyle name="20 % - Farve5 4 3" xfId="1550" xr:uid="{00000000-0005-0000-0000-00008C000000}"/>
    <cellStyle name="20 % - Farve5 5" xfId="536" xr:uid="{00000000-0005-0000-0000-00008D000000}"/>
    <cellStyle name="20 % - Farve5 5 2" xfId="1050" xr:uid="{00000000-0005-0000-0000-00008E000000}"/>
    <cellStyle name="20 % - Farve5 5 2 2" xfId="2077" xr:uid="{00000000-0005-0000-0000-00008F000000}"/>
    <cellStyle name="20 % - Farve5 5 3" xfId="1564" xr:uid="{00000000-0005-0000-0000-000090000000}"/>
    <cellStyle name="20 % - Farve5 6" xfId="578" xr:uid="{00000000-0005-0000-0000-000091000000}"/>
    <cellStyle name="20 % - Farve5 6 2" xfId="1092" xr:uid="{00000000-0005-0000-0000-000092000000}"/>
    <cellStyle name="20 % - Farve5 6 2 2" xfId="2119" xr:uid="{00000000-0005-0000-0000-000093000000}"/>
    <cellStyle name="20 % - Farve5 6 3" xfId="1606" xr:uid="{00000000-0005-0000-0000-000094000000}"/>
    <cellStyle name="20 % - Farve5 7" xfId="702" xr:uid="{00000000-0005-0000-0000-000095000000}"/>
    <cellStyle name="20 % - Farve5 7 2" xfId="1730" xr:uid="{00000000-0005-0000-0000-000096000000}"/>
    <cellStyle name="20 % - Farve5 8" xfId="1217" xr:uid="{00000000-0005-0000-0000-000097000000}"/>
    <cellStyle name="20 % - Farve5 9" xfId="2140" xr:uid="{00000000-0005-0000-0000-000098000000}"/>
    <cellStyle name="20 % - Farve6" xfId="183" builtinId="50" customBuiltin="1"/>
    <cellStyle name="20 % - Farve6 2" xfId="374" xr:uid="{00000000-0005-0000-0000-00009A000000}"/>
    <cellStyle name="20 % - Farve6 2 2" xfId="888" xr:uid="{00000000-0005-0000-0000-00009B000000}"/>
    <cellStyle name="20 % - Farve6 2 2 2" xfId="1915" xr:uid="{00000000-0005-0000-0000-00009C000000}"/>
    <cellStyle name="20 % - Farve6 2 3" xfId="1402" xr:uid="{00000000-0005-0000-0000-00009D000000}"/>
    <cellStyle name="20 % - Farve6 3" xfId="482" xr:uid="{00000000-0005-0000-0000-00009E000000}"/>
    <cellStyle name="20 % - Farve6 3 2" xfId="996" xr:uid="{00000000-0005-0000-0000-00009F000000}"/>
    <cellStyle name="20 % - Farve6 3 2 2" xfId="2023" xr:uid="{00000000-0005-0000-0000-0000A0000000}"/>
    <cellStyle name="20 % - Farve6 3 3" xfId="1510" xr:uid="{00000000-0005-0000-0000-0000A1000000}"/>
    <cellStyle name="20 % - Farve6 4" xfId="524" xr:uid="{00000000-0005-0000-0000-0000A2000000}"/>
    <cellStyle name="20 % - Farve6 4 2" xfId="1038" xr:uid="{00000000-0005-0000-0000-0000A3000000}"/>
    <cellStyle name="20 % - Farve6 4 2 2" xfId="2065" xr:uid="{00000000-0005-0000-0000-0000A4000000}"/>
    <cellStyle name="20 % - Farve6 4 3" xfId="1552" xr:uid="{00000000-0005-0000-0000-0000A5000000}"/>
    <cellStyle name="20 % - Farve6 5" xfId="538" xr:uid="{00000000-0005-0000-0000-0000A6000000}"/>
    <cellStyle name="20 % - Farve6 5 2" xfId="1052" xr:uid="{00000000-0005-0000-0000-0000A7000000}"/>
    <cellStyle name="20 % - Farve6 5 2 2" xfId="2079" xr:uid="{00000000-0005-0000-0000-0000A8000000}"/>
    <cellStyle name="20 % - Farve6 5 3" xfId="1566" xr:uid="{00000000-0005-0000-0000-0000A9000000}"/>
    <cellStyle name="20 % - Farve6 6" xfId="580" xr:uid="{00000000-0005-0000-0000-0000AA000000}"/>
    <cellStyle name="20 % - Farve6 6 2" xfId="1094" xr:uid="{00000000-0005-0000-0000-0000AB000000}"/>
    <cellStyle name="20 % - Farve6 6 2 2" xfId="2121" xr:uid="{00000000-0005-0000-0000-0000AC000000}"/>
    <cellStyle name="20 % - Farve6 6 3" xfId="1608" xr:uid="{00000000-0005-0000-0000-0000AD000000}"/>
    <cellStyle name="20 % - Farve6 7" xfId="704" xr:uid="{00000000-0005-0000-0000-0000AE000000}"/>
    <cellStyle name="20 % - Farve6 7 2" xfId="1732" xr:uid="{00000000-0005-0000-0000-0000AF000000}"/>
    <cellStyle name="20 % - Farve6 8" xfId="1219" xr:uid="{00000000-0005-0000-0000-0000B0000000}"/>
    <cellStyle name="20 % - Farve6 9" xfId="2143" xr:uid="{00000000-0005-0000-0000-0000B1000000}"/>
    <cellStyle name="20 % - Markeringsfarve1 10" xfId="350" xr:uid="{00000000-0005-0000-0000-0000B2000000}"/>
    <cellStyle name="20 % - Markeringsfarve1 10 2" xfId="864" xr:uid="{00000000-0005-0000-0000-0000B3000000}"/>
    <cellStyle name="20 % - Markeringsfarve1 10 2 2" xfId="1891" xr:uid="{00000000-0005-0000-0000-0000B4000000}"/>
    <cellStyle name="20 % - Markeringsfarve1 10 3" xfId="1378" xr:uid="{00000000-0005-0000-0000-0000B5000000}"/>
    <cellStyle name="20 % - Markeringsfarve1 11" xfId="383" xr:uid="{00000000-0005-0000-0000-0000B6000000}"/>
    <cellStyle name="20 % - Markeringsfarve1 11 2" xfId="897" xr:uid="{00000000-0005-0000-0000-0000B7000000}"/>
    <cellStyle name="20 % - Markeringsfarve1 11 2 2" xfId="1924" xr:uid="{00000000-0005-0000-0000-0000B8000000}"/>
    <cellStyle name="20 % - Markeringsfarve1 11 3" xfId="1411" xr:uid="{00000000-0005-0000-0000-0000B9000000}"/>
    <cellStyle name="20 % - Markeringsfarve1 12" xfId="397" xr:uid="{00000000-0005-0000-0000-0000BA000000}"/>
    <cellStyle name="20 % - Markeringsfarve1 12 2" xfId="911" xr:uid="{00000000-0005-0000-0000-0000BB000000}"/>
    <cellStyle name="20 % - Markeringsfarve1 12 2 2" xfId="1938" xr:uid="{00000000-0005-0000-0000-0000BC000000}"/>
    <cellStyle name="20 % - Markeringsfarve1 12 3" xfId="1425" xr:uid="{00000000-0005-0000-0000-0000BD000000}"/>
    <cellStyle name="20 % - Markeringsfarve1 13" xfId="418" xr:uid="{00000000-0005-0000-0000-0000BE000000}"/>
    <cellStyle name="20 % - Markeringsfarve1 13 2" xfId="932" xr:uid="{00000000-0005-0000-0000-0000BF000000}"/>
    <cellStyle name="20 % - Markeringsfarve1 13 2 2" xfId="1959" xr:uid="{00000000-0005-0000-0000-0000C0000000}"/>
    <cellStyle name="20 % - Markeringsfarve1 13 3" xfId="1446" xr:uid="{00000000-0005-0000-0000-0000C1000000}"/>
    <cellStyle name="20 % - Markeringsfarve1 14" xfId="434" xr:uid="{00000000-0005-0000-0000-0000C2000000}"/>
    <cellStyle name="20 % - Markeringsfarve1 14 2" xfId="948" xr:uid="{00000000-0005-0000-0000-0000C3000000}"/>
    <cellStyle name="20 % - Markeringsfarve1 14 2 2" xfId="1975" xr:uid="{00000000-0005-0000-0000-0000C4000000}"/>
    <cellStyle name="20 % - Markeringsfarve1 14 3" xfId="1462" xr:uid="{00000000-0005-0000-0000-0000C5000000}"/>
    <cellStyle name="20 % - Markeringsfarve1 15" xfId="456" xr:uid="{00000000-0005-0000-0000-0000C6000000}"/>
    <cellStyle name="20 % - Markeringsfarve1 15 2" xfId="970" xr:uid="{00000000-0005-0000-0000-0000C7000000}"/>
    <cellStyle name="20 % - Markeringsfarve1 15 2 2" xfId="1997" xr:uid="{00000000-0005-0000-0000-0000C8000000}"/>
    <cellStyle name="20 % - Markeringsfarve1 15 3" xfId="1484" xr:uid="{00000000-0005-0000-0000-0000C9000000}"/>
    <cellStyle name="20 % - Markeringsfarve1 16" xfId="486" xr:uid="{00000000-0005-0000-0000-0000CA000000}"/>
    <cellStyle name="20 % - Markeringsfarve1 16 2" xfId="1000" xr:uid="{00000000-0005-0000-0000-0000CB000000}"/>
    <cellStyle name="20 % - Markeringsfarve1 16 2 2" xfId="2027" xr:uid="{00000000-0005-0000-0000-0000CC000000}"/>
    <cellStyle name="20 % - Markeringsfarve1 16 3" xfId="1514" xr:uid="{00000000-0005-0000-0000-0000CD000000}"/>
    <cellStyle name="20 % - Markeringsfarve1 17" xfId="500" xr:uid="{00000000-0005-0000-0000-0000CE000000}"/>
    <cellStyle name="20 % - Markeringsfarve1 17 2" xfId="1014" xr:uid="{00000000-0005-0000-0000-0000CF000000}"/>
    <cellStyle name="20 % - Markeringsfarve1 17 2 2" xfId="2041" xr:uid="{00000000-0005-0000-0000-0000D0000000}"/>
    <cellStyle name="20 % - Markeringsfarve1 17 3" xfId="1528" xr:uid="{00000000-0005-0000-0000-0000D1000000}"/>
    <cellStyle name="20 % - Markeringsfarve1 18" xfId="542" xr:uid="{00000000-0005-0000-0000-0000D2000000}"/>
    <cellStyle name="20 % - Markeringsfarve1 18 2" xfId="1056" xr:uid="{00000000-0005-0000-0000-0000D3000000}"/>
    <cellStyle name="20 % - Markeringsfarve1 18 2 2" xfId="2083" xr:uid="{00000000-0005-0000-0000-0000D4000000}"/>
    <cellStyle name="20 % - Markeringsfarve1 18 3" xfId="1570" xr:uid="{00000000-0005-0000-0000-0000D5000000}"/>
    <cellStyle name="20 % - Markeringsfarve1 19" xfId="556" xr:uid="{00000000-0005-0000-0000-0000D6000000}"/>
    <cellStyle name="20 % - Markeringsfarve1 19 2" xfId="1070" xr:uid="{00000000-0005-0000-0000-0000D7000000}"/>
    <cellStyle name="20 % - Markeringsfarve1 19 2 2" xfId="2097" xr:uid="{00000000-0005-0000-0000-0000D8000000}"/>
    <cellStyle name="20 % - Markeringsfarve1 19 3" xfId="1584" xr:uid="{00000000-0005-0000-0000-0000D9000000}"/>
    <cellStyle name="20 % - Markeringsfarve1 2" xfId="198" xr:uid="{00000000-0005-0000-0000-0000DA000000}"/>
    <cellStyle name="20 % - Markeringsfarve1 2 2" xfId="713" xr:uid="{00000000-0005-0000-0000-0000DB000000}"/>
    <cellStyle name="20 % - Markeringsfarve1 2 2 2" xfId="1740" xr:uid="{00000000-0005-0000-0000-0000DC000000}"/>
    <cellStyle name="20 % - Markeringsfarve1 2 3" xfId="1227" xr:uid="{00000000-0005-0000-0000-0000DD000000}"/>
    <cellStyle name="20 % - Markeringsfarve1 3" xfId="218" xr:uid="{00000000-0005-0000-0000-0000DE000000}"/>
    <cellStyle name="20 % - Markeringsfarve1 3 2" xfId="733" xr:uid="{00000000-0005-0000-0000-0000DF000000}"/>
    <cellStyle name="20 % - Markeringsfarve1 3 2 2" xfId="1760" xr:uid="{00000000-0005-0000-0000-0000E0000000}"/>
    <cellStyle name="20 % - Markeringsfarve1 3 3" xfId="1247" xr:uid="{00000000-0005-0000-0000-0000E1000000}"/>
    <cellStyle name="20 % - Markeringsfarve1 4" xfId="234" xr:uid="{00000000-0005-0000-0000-0000E2000000}"/>
    <cellStyle name="20 % - Markeringsfarve1 4 2" xfId="749" xr:uid="{00000000-0005-0000-0000-0000E3000000}"/>
    <cellStyle name="20 % - Markeringsfarve1 4 2 2" xfId="1776" xr:uid="{00000000-0005-0000-0000-0000E4000000}"/>
    <cellStyle name="20 % - Markeringsfarve1 4 3" xfId="1263" xr:uid="{00000000-0005-0000-0000-0000E5000000}"/>
    <cellStyle name="20 % - Markeringsfarve1 5" xfId="248" xr:uid="{00000000-0005-0000-0000-0000E6000000}"/>
    <cellStyle name="20 % - Markeringsfarve1 5 2" xfId="763" xr:uid="{00000000-0005-0000-0000-0000E7000000}"/>
    <cellStyle name="20 % - Markeringsfarve1 5 2 2" xfId="1790" xr:uid="{00000000-0005-0000-0000-0000E8000000}"/>
    <cellStyle name="20 % - Markeringsfarve1 5 3" xfId="1277" xr:uid="{00000000-0005-0000-0000-0000E9000000}"/>
    <cellStyle name="20 % - Markeringsfarve1 6" xfId="263" xr:uid="{00000000-0005-0000-0000-0000EA000000}"/>
    <cellStyle name="20 % - Markeringsfarve1 6 2" xfId="778" xr:uid="{00000000-0005-0000-0000-0000EB000000}"/>
    <cellStyle name="20 % - Markeringsfarve1 6 2 2" xfId="1805" xr:uid="{00000000-0005-0000-0000-0000EC000000}"/>
    <cellStyle name="20 % - Markeringsfarve1 6 3" xfId="1292" xr:uid="{00000000-0005-0000-0000-0000ED000000}"/>
    <cellStyle name="20 % - Markeringsfarve1 7" xfId="277" xr:uid="{00000000-0005-0000-0000-0000EE000000}"/>
    <cellStyle name="20 % - Markeringsfarve1 7 2" xfId="792" xr:uid="{00000000-0005-0000-0000-0000EF000000}"/>
    <cellStyle name="20 % - Markeringsfarve1 7 2 2" xfId="1819" xr:uid="{00000000-0005-0000-0000-0000F0000000}"/>
    <cellStyle name="20 % - Markeringsfarve1 7 3" xfId="1306" xr:uid="{00000000-0005-0000-0000-0000F1000000}"/>
    <cellStyle name="20 % - Markeringsfarve1 8" xfId="292" xr:uid="{00000000-0005-0000-0000-0000F2000000}"/>
    <cellStyle name="20 % - Markeringsfarve1 8 2" xfId="807" xr:uid="{00000000-0005-0000-0000-0000F3000000}"/>
    <cellStyle name="20 % - Markeringsfarve1 8 2 2" xfId="1834" xr:uid="{00000000-0005-0000-0000-0000F4000000}"/>
    <cellStyle name="20 % - Markeringsfarve1 8 3" xfId="1321" xr:uid="{00000000-0005-0000-0000-0000F5000000}"/>
    <cellStyle name="20 % - Markeringsfarve1 9" xfId="330" xr:uid="{00000000-0005-0000-0000-0000F6000000}"/>
    <cellStyle name="20 % - Markeringsfarve1 9 2" xfId="844" xr:uid="{00000000-0005-0000-0000-0000F7000000}"/>
    <cellStyle name="20 % - Markeringsfarve1 9 2 2" xfId="1871" xr:uid="{00000000-0005-0000-0000-0000F8000000}"/>
    <cellStyle name="20 % - Markeringsfarve1 9 3" xfId="1358" xr:uid="{00000000-0005-0000-0000-0000F9000000}"/>
    <cellStyle name="20 % - Markeringsfarve2 10" xfId="352" xr:uid="{00000000-0005-0000-0000-0000FA000000}"/>
    <cellStyle name="20 % - Markeringsfarve2 10 2" xfId="866" xr:uid="{00000000-0005-0000-0000-0000FB000000}"/>
    <cellStyle name="20 % - Markeringsfarve2 10 2 2" xfId="1893" xr:uid="{00000000-0005-0000-0000-0000FC000000}"/>
    <cellStyle name="20 % - Markeringsfarve2 10 3" xfId="1380" xr:uid="{00000000-0005-0000-0000-0000FD000000}"/>
    <cellStyle name="20 % - Markeringsfarve2 11" xfId="385" xr:uid="{00000000-0005-0000-0000-0000FE000000}"/>
    <cellStyle name="20 % - Markeringsfarve2 11 2" xfId="899" xr:uid="{00000000-0005-0000-0000-0000FF000000}"/>
    <cellStyle name="20 % - Markeringsfarve2 11 2 2" xfId="1926" xr:uid="{00000000-0005-0000-0000-000000010000}"/>
    <cellStyle name="20 % - Markeringsfarve2 11 3" xfId="1413" xr:uid="{00000000-0005-0000-0000-000001010000}"/>
    <cellStyle name="20 % - Markeringsfarve2 12" xfId="399" xr:uid="{00000000-0005-0000-0000-000002010000}"/>
    <cellStyle name="20 % - Markeringsfarve2 12 2" xfId="913" xr:uid="{00000000-0005-0000-0000-000003010000}"/>
    <cellStyle name="20 % - Markeringsfarve2 12 2 2" xfId="1940" xr:uid="{00000000-0005-0000-0000-000004010000}"/>
    <cellStyle name="20 % - Markeringsfarve2 12 3" xfId="1427" xr:uid="{00000000-0005-0000-0000-000005010000}"/>
    <cellStyle name="20 % - Markeringsfarve2 13" xfId="420" xr:uid="{00000000-0005-0000-0000-000006010000}"/>
    <cellStyle name="20 % - Markeringsfarve2 13 2" xfId="934" xr:uid="{00000000-0005-0000-0000-000007010000}"/>
    <cellStyle name="20 % - Markeringsfarve2 13 2 2" xfId="1961" xr:uid="{00000000-0005-0000-0000-000008010000}"/>
    <cellStyle name="20 % - Markeringsfarve2 13 3" xfId="1448" xr:uid="{00000000-0005-0000-0000-000009010000}"/>
    <cellStyle name="20 % - Markeringsfarve2 14" xfId="436" xr:uid="{00000000-0005-0000-0000-00000A010000}"/>
    <cellStyle name="20 % - Markeringsfarve2 14 2" xfId="950" xr:uid="{00000000-0005-0000-0000-00000B010000}"/>
    <cellStyle name="20 % - Markeringsfarve2 14 2 2" xfId="1977" xr:uid="{00000000-0005-0000-0000-00000C010000}"/>
    <cellStyle name="20 % - Markeringsfarve2 14 3" xfId="1464" xr:uid="{00000000-0005-0000-0000-00000D010000}"/>
    <cellStyle name="20 % - Markeringsfarve2 15" xfId="458" xr:uid="{00000000-0005-0000-0000-00000E010000}"/>
    <cellStyle name="20 % - Markeringsfarve2 15 2" xfId="972" xr:uid="{00000000-0005-0000-0000-00000F010000}"/>
    <cellStyle name="20 % - Markeringsfarve2 15 2 2" xfId="1999" xr:uid="{00000000-0005-0000-0000-000010010000}"/>
    <cellStyle name="20 % - Markeringsfarve2 15 3" xfId="1486" xr:uid="{00000000-0005-0000-0000-000011010000}"/>
    <cellStyle name="20 % - Markeringsfarve2 16" xfId="488" xr:uid="{00000000-0005-0000-0000-000012010000}"/>
    <cellStyle name="20 % - Markeringsfarve2 16 2" xfId="1002" xr:uid="{00000000-0005-0000-0000-000013010000}"/>
    <cellStyle name="20 % - Markeringsfarve2 16 2 2" xfId="2029" xr:uid="{00000000-0005-0000-0000-000014010000}"/>
    <cellStyle name="20 % - Markeringsfarve2 16 3" xfId="1516" xr:uid="{00000000-0005-0000-0000-000015010000}"/>
    <cellStyle name="20 % - Markeringsfarve2 17" xfId="502" xr:uid="{00000000-0005-0000-0000-000016010000}"/>
    <cellStyle name="20 % - Markeringsfarve2 17 2" xfId="1016" xr:uid="{00000000-0005-0000-0000-000017010000}"/>
    <cellStyle name="20 % - Markeringsfarve2 17 2 2" xfId="2043" xr:uid="{00000000-0005-0000-0000-000018010000}"/>
    <cellStyle name="20 % - Markeringsfarve2 17 3" xfId="1530" xr:uid="{00000000-0005-0000-0000-000019010000}"/>
    <cellStyle name="20 % - Markeringsfarve2 18" xfId="544" xr:uid="{00000000-0005-0000-0000-00001A010000}"/>
    <cellStyle name="20 % - Markeringsfarve2 18 2" xfId="1058" xr:uid="{00000000-0005-0000-0000-00001B010000}"/>
    <cellStyle name="20 % - Markeringsfarve2 18 2 2" xfId="2085" xr:uid="{00000000-0005-0000-0000-00001C010000}"/>
    <cellStyle name="20 % - Markeringsfarve2 18 3" xfId="1572" xr:uid="{00000000-0005-0000-0000-00001D010000}"/>
    <cellStyle name="20 % - Markeringsfarve2 19" xfId="558" xr:uid="{00000000-0005-0000-0000-00001E010000}"/>
    <cellStyle name="20 % - Markeringsfarve2 19 2" xfId="1072" xr:uid="{00000000-0005-0000-0000-00001F010000}"/>
    <cellStyle name="20 % - Markeringsfarve2 19 2 2" xfId="2099" xr:uid="{00000000-0005-0000-0000-000020010000}"/>
    <cellStyle name="20 % - Markeringsfarve2 19 3" xfId="1586" xr:uid="{00000000-0005-0000-0000-000021010000}"/>
    <cellStyle name="20 % - Markeringsfarve2 2" xfId="200" xr:uid="{00000000-0005-0000-0000-000022010000}"/>
    <cellStyle name="20 % - Markeringsfarve2 2 2" xfId="715" xr:uid="{00000000-0005-0000-0000-000023010000}"/>
    <cellStyle name="20 % - Markeringsfarve2 2 2 2" xfId="1742" xr:uid="{00000000-0005-0000-0000-000024010000}"/>
    <cellStyle name="20 % - Markeringsfarve2 2 3" xfId="1229" xr:uid="{00000000-0005-0000-0000-000025010000}"/>
    <cellStyle name="20 % - Markeringsfarve2 3" xfId="220" xr:uid="{00000000-0005-0000-0000-000026010000}"/>
    <cellStyle name="20 % - Markeringsfarve2 3 2" xfId="735" xr:uid="{00000000-0005-0000-0000-000027010000}"/>
    <cellStyle name="20 % - Markeringsfarve2 3 2 2" xfId="1762" xr:uid="{00000000-0005-0000-0000-000028010000}"/>
    <cellStyle name="20 % - Markeringsfarve2 3 3" xfId="1249" xr:uid="{00000000-0005-0000-0000-000029010000}"/>
    <cellStyle name="20 % - Markeringsfarve2 4" xfId="236" xr:uid="{00000000-0005-0000-0000-00002A010000}"/>
    <cellStyle name="20 % - Markeringsfarve2 4 2" xfId="751" xr:uid="{00000000-0005-0000-0000-00002B010000}"/>
    <cellStyle name="20 % - Markeringsfarve2 4 2 2" xfId="1778" xr:uid="{00000000-0005-0000-0000-00002C010000}"/>
    <cellStyle name="20 % - Markeringsfarve2 4 3" xfId="1265" xr:uid="{00000000-0005-0000-0000-00002D010000}"/>
    <cellStyle name="20 % - Markeringsfarve2 5" xfId="250" xr:uid="{00000000-0005-0000-0000-00002E010000}"/>
    <cellStyle name="20 % - Markeringsfarve2 5 2" xfId="765" xr:uid="{00000000-0005-0000-0000-00002F010000}"/>
    <cellStyle name="20 % - Markeringsfarve2 5 2 2" xfId="1792" xr:uid="{00000000-0005-0000-0000-000030010000}"/>
    <cellStyle name="20 % - Markeringsfarve2 5 3" xfId="1279" xr:uid="{00000000-0005-0000-0000-000031010000}"/>
    <cellStyle name="20 % - Markeringsfarve2 6" xfId="265" xr:uid="{00000000-0005-0000-0000-000032010000}"/>
    <cellStyle name="20 % - Markeringsfarve2 6 2" xfId="780" xr:uid="{00000000-0005-0000-0000-000033010000}"/>
    <cellStyle name="20 % - Markeringsfarve2 6 2 2" xfId="1807" xr:uid="{00000000-0005-0000-0000-000034010000}"/>
    <cellStyle name="20 % - Markeringsfarve2 6 3" xfId="1294" xr:uid="{00000000-0005-0000-0000-000035010000}"/>
    <cellStyle name="20 % - Markeringsfarve2 7" xfId="279" xr:uid="{00000000-0005-0000-0000-000036010000}"/>
    <cellStyle name="20 % - Markeringsfarve2 7 2" xfId="794" xr:uid="{00000000-0005-0000-0000-000037010000}"/>
    <cellStyle name="20 % - Markeringsfarve2 7 2 2" xfId="1821" xr:uid="{00000000-0005-0000-0000-000038010000}"/>
    <cellStyle name="20 % - Markeringsfarve2 7 3" xfId="1308" xr:uid="{00000000-0005-0000-0000-000039010000}"/>
    <cellStyle name="20 % - Markeringsfarve2 8" xfId="294" xr:uid="{00000000-0005-0000-0000-00003A010000}"/>
    <cellStyle name="20 % - Markeringsfarve2 8 2" xfId="809" xr:uid="{00000000-0005-0000-0000-00003B010000}"/>
    <cellStyle name="20 % - Markeringsfarve2 8 2 2" xfId="1836" xr:uid="{00000000-0005-0000-0000-00003C010000}"/>
    <cellStyle name="20 % - Markeringsfarve2 8 3" xfId="1323" xr:uid="{00000000-0005-0000-0000-00003D010000}"/>
    <cellStyle name="20 % - Markeringsfarve2 9" xfId="332" xr:uid="{00000000-0005-0000-0000-00003E010000}"/>
    <cellStyle name="20 % - Markeringsfarve2 9 2" xfId="846" xr:uid="{00000000-0005-0000-0000-00003F010000}"/>
    <cellStyle name="20 % - Markeringsfarve2 9 2 2" xfId="1873" xr:uid="{00000000-0005-0000-0000-000040010000}"/>
    <cellStyle name="20 % - Markeringsfarve2 9 3" xfId="1360" xr:uid="{00000000-0005-0000-0000-000041010000}"/>
    <cellStyle name="20 % - Markeringsfarve3 10" xfId="354" xr:uid="{00000000-0005-0000-0000-000042010000}"/>
    <cellStyle name="20 % - Markeringsfarve3 10 2" xfId="868" xr:uid="{00000000-0005-0000-0000-000043010000}"/>
    <cellStyle name="20 % - Markeringsfarve3 10 2 2" xfId="1895" xr:uid="{00000000-0005-0000-0000-000044010000}"/>
    <cellStyle name="20 % - Markeringsfarve3 10 3" xfId="1382" xr:uid="{00000000-0005-0000-0000-000045010000}"/>
    <cellStyle name="20 % - Markeringsfarve3 11" xfId="387" xr:uid="{00000000-0005-0000-0000-000046010000}"/>
    <cellStyle name="20 % - Markeringsfarve3 11 2" xfId="901" xr:uid="{00000000-0005-0000-0000-000047010000}"/>
    <cellStyle name="20 % - Markeringsfarve3 11 2 2" xfId="1928" xr:uid="{00000000-0005-0000-0000-000048010000}"/>
    <cellStyle name="20 % - Markeringsfarve3 11 3" xfId="1415" xr:uid="{00000000-0005-0000-0000-000049010000}"/>
    <cellStyle name="20 % - Markeringsfarve3 12" xfId="401" xr:uid="{00000000-0005-0000-0000-00004A010000}"/>
    <cellStyle name="20 % - Markeringsfarve3 12 2" xfId="915" xr:uid="{00000000-0005-0000-0000-00004B010000}"/>
    <cellStyle name="20 % - Markeringsfarve3 12 2 2" xfId="1942" xr:uid="{00000000-0005-0000-0000-00004C010000}"/>
    <cellStyle name="20 % - Markeringsfarve3 12 3" xfId="1429" xr:uid="{00000000-0005-0000-0000-00004D010000}"/>
    <cellStyle name="20 % - Markeringsfarve3 13" xfId="422" xr:uid="{00000000-0005-0000-0000-00004E010000}"/>
    <cellStyle name="20 % - Markeringsfarve3 13 2" xfId="936" xr:uid="{00000000-0005-0000-0000-00004F010000}"/>
    <cellStyle name="20 % - Markeringsfarve3 13 2 2" xfId="1963" xr:uid="{00000000-0005-0000-0000-000050010000}"/>
    <cellStyle name="20 % - Markeringsfarve3 13 3" xfId="1450" xr:uid="{00000000-0005-0000-0000-000051010000}"/>
    <cellStyle name="20 % - Markeringsfarve3 14" xfId="438" xr:uid="{00000000-0005-0000-0000-000052010000}"/>
    <cellStyle name="20 % - Markeringsfarve3 14 2" xfId="952" xr:uid="{00000000-0005-0000-0000-000053010000}"/>
    <cellStyle name="20 % - Markeringsfarve3 14 2 2" xfId="1979" xr:uid="{00000000-0005-0000-0000-000054010000}"/>
    <cellStyle name="20 % - Markeringsfarve3 14 3" xfId="1466" xr:uid="{00000000-0005-0000-0000-000055010000}"/>
    <cellStyle name="20 % - Markeringsfarve3 15" xfId="460" xr:uid="{00000000-0005-0000-0000-000056010000}"/>
    <cellStyle name="20 % - Markeringsfarve3 15 2" xfId="974" xr:uid="{00000000-0005-0000-0000-000057010000}"/>
    <cellStyle name="20 % - Markeringsfarve3 15 2 2" xfId="2001" xr:uid="{00000000-0005-0000-0000-000058010000}"/>
    <cellStyle name="20 % - Markeringsfarve3 15 3" xfId="1488" xr:uid="{00000000-0005-0000-0000-000059010000}"/>
    <cellStyle name="20 % - Markeringsfarve3 16" xfId="490" xr:uid="{00000000-0005-0000-0000-00005A010000}"/>
    <cellStyle name="20 % - Markeringsfarve3 16 2" xfId="1004" xr:uid="{00000000-0005-0000-0000-00005B010000}"/>
    <cellStyle name="20 % - Markeringsfarve3 16 2 2" xfId="2031" xr:uid="{00000000-0005-0000-0000-00005C010000}"/>
    <cellStyle name="20 % - Markeringsfarve3 16 3" xfId="1518" xr:uid="{00000000-0005-0000-0000-00005D010000}"/>
    <cellStyle name="20 % - Markeringsfarve3 17" xfId="504" xr:uid="{00000000-0005-0000-0000-00005E010000}"/>
    <cellStyle name="20 % - Markeringsfarve3 17 2" xfId="1018" xr:uid="{00000000-0005-0000-0000-00005F010000}"/>
    <cellStyle name="20 % - Markeringsfarve3 17 2 2" xfId="2045" xr:uid="{00000000-0005-0000-0000-000060010000}"/>
    <cellStyle name="20 % - Markeringsfarve3 17 3" xfId="1532" xr:uid="{00000000-0005-0000-0000-000061010000}"/>
    <cellStyle name="20 % - Markeringsfarve3 18" xfId="546" xr:uid="{00000000-0005-0000-0000-000062010000}"/>
    <cellStyle name="20 % - Markeringsfarve3 18 2" xfId="1060" xr:uid="{00000000-0005-0000-0000-000063010000}"/>
    <cellStyle name="20 % - Markeringsfarve3 18 2 2" xfId="2087" xr:uid="{00000000-0005-0000-0000-000064010000}"/>
    <cellStyle name="20 % - Markeringsfarve3 18 3" xfId="1574" xr:uid="{00000000-0005-0000-0000-000065010000}"/>
    <cellStyle name="20 % - Markeringsfarve3 19" xfId="560" xr:uid="{00000000-0005-0000-0000-000066010000}"/>
    <cellStyle name="20 % - Markeringsfarve3 19 2" xfId="1074" xr:uid="{00000000-0005-0000-0000-000067010000}"/>
    <cellStyle name="20 % - Markeringsfarve3 19 2 2" xfId="2101" xr:uid="{00000000-0005-0000-0000-000068010000}"/>
    <cellStyle name="20 % - Markeringsfarve3 19 3" xfId="1588" xr:uid="{00000000-0005-0000-0000-000069010000}"/>
    <cellStyle name="20 % - Markeringsfarve3 2" xfId="202" xr:uid="{00000000-0005-0000-0000-00006A010000}"/>
    <cellStyle name="20 % - Markeringsfarve3 2 2" xfId="717" xr:uid="{00000000-0005-0000-0000-00006B010000}"/>
    <cellStyle name="20 % - Markeringsfarve3 2 2 2" xfId="1744" xr:uid="{00000000-0005-0000-0000-00006C010000}"/>
    <cellStyle name="20 % - Markeringsfarve3 2 3" xfId="1231" xr:uid="{00000000-0005-0000-0000-00006D010000}"/>
    <cellStyle name="20 % - Markeringsfarve3 3" xfId="222" xr:uid="{00000000-0005-0000-0000-00006E010000}"/>
    <cellStyle name="20 % - Markeringsfarve3 3 2" xfId="737" xr:uid="{00000000-0005-0000-0000-00006F010000}"/>
    <cellStyle name="20 % - Markeringsfarve3 3 2 2" xfId="1764" xr:uid="{00000000-0005-0000-0000-000070010000}"/>
    <cellStyle name="20 % - Markeringsfarve3 3 3" xfId="1251" xr:uid="{00000000-0005-0000-0000-000071010000}"/>
    <cellStyle name="20 % - Markeringsfarve3 4" xfId="238" xr:uid="{00000000-0005-0000-0000-000072010000}"/>
    <cellStyle name="20 % - Markeringsfarve3 4 2" xfId="753" xr:uid="{00000000-0005-0000-0000-000073010000}"/>
    <cellStyle name="20 % - Markeringsfarve3 4 2 2" xfId="1780" xr:uid="{00000000-0005-0000-0000-000074010000}"/>
    <cellStyle name="20 % - Markeringsfarve3 4 3" xfId="1267" xr:uid="{00000000-0005-0000-0000-000075010000}"/>
    <cellStyle name="20 % - Markeringsfarve3 5" xfId="252" xr:uid="{00000000-0005-0000-0000-000076010000}"/>
    <cellStyle name="20 % - Markeringsfarve3 5 2" xfId="767" xr:uid="{00000000-0005-0000-0000-000077010000}"/>
    <cellStyle name="20 % - Markeringsfarve3 5 2 2" xfId="1794" xr:uid="{00000000-0005-0000-0000-000078010000}"/>
    <cellStyle name="20 % - Markeringsfarve3 5 3" xfId="1281" xr:uid="{00000000-0005-0000-0000-000079010000}"/>
    <cellStyle name="20 % - Markeringsfarve3 6" xfId="267" xr:uid="{00000000-0005-0000-0000-00007A010000}"/>
    <cellStyle name="20 % - Markeringsfarve3 6 2" xfId="782" xr:uid="{00000000-0005-0000-0000-00007B010000}"/>
    <cellStyle name="20 % - Markeringsfarve3 6 2 2" xfId="1809" xr:uid="{00000000-0005-0000-0000-00007C010000}"/>
    <cellStyle name="20 % - Markeringsfarve3 6 3" xfId="1296" xr:uid="{00000000-0005-0000-0000-00007D010000}"/>
    <cellStyle name="20 % - Markeringsfarve3 7" xfId="281" xr:uid="{00000000-0005-0000-0000-00007E010000}"/>
    <cellStyle name="20 % - Markeringsfarve3 7 2" xfId="796" xr:uid="{00000000-0005-0000-0000-00007F010000}"/>
    <cellStyle name="20 % - Markeringsfarve3 7 2 2" xfId="1823" xr:uid="{00000000-0005-0000-0000-000080010000}"/>
    <cellStyle name="20 % - Markeringsfarve3 7 3" xfId="1310" xr:uid="{00000000-0005-0000-0000-000081010000}"/>
    <cellStyle name="20 % - Markeringsfarve3 8" xfId="296" xr:uid="{00000000-0005-0000-0000-000082010000}"/>
    <cellStyle name="20 % - Markeringsfarve3 8 2" xfId="811" xr:uid="{00000000-0005-0000-0000-000083010000}"/>
    <cellStyle name="20 % - Markeringsfarve3 8 2 2" xfId="1838" xr:uid="{00000000-0005-0000-0000-000084010000}"/>
    <cellStyle name="20 % - Markeringsfarve3 8 3" xfId="1325" xr:uid="{00000000-0005-0000-0000-000085010000}"/>
    <cellStyle name="20 % - Markeringsfarve3 9" xfId="334" xr:uid="{00000000-0005-0000-0000-000086010000}"/>
    <cellStyle name="20 % - Markeringsfarve3 9 2" xfId="848" xr:uid="{00000000-0005-0000-0000-000087010000}"/>
    <cellStyle name="20 % - Markeringsfarve3 9 2 2" xfId="1875" xr:uid="{00000000-0005-0000-0000-000088010000}"/>
    <cellStyle name="20 % - Markeringsfarve3 9 3" xfId="1362" xr:uid="{00000000-0005-0000-0000-000089010000}"/>
    <cellStyle name="20 % - Markeringsfarve4 10" xfId="356" xr:uid="{00000000-0005-0000-0000-00008A010000}"/>
    <cellStyle name="20 % - Markeringsfarve4 10 2" xfId="870" xr:uid="{00000000-0005-0000-0000-00008B010000}"/>
    <cellStyle name="20 % - Markeringsfarve4 10 2 2" xfId="1897" xr:uid="{00000000-0005-0000-0000-00008C010000}"/>
    <cellStyle name="20 % - Markeringsfarve4 10 3" xfId="1384" xr:uid="{00000000-0005-0000-0000-00008D010000}"/>
    <cellStyle name="20 % - Markeringsfarve4 11" xfId="389" xr:uid="{00000000-0005-0000-0000-00008E010000}"/>
    <cellStyle name="20 % - Markeringsfarve4 11 2" xfId="903" xr:uid="{00000000-0005-0000-0000-00008F010000}"/>
    <cellStyle name="20 % - Markeringsfarve4 11 2 2" xfId="1930" xr:uid="{00000000-0005-0000-0000-000090010000}"/>
    <cellStyle name="20 % - Markeringsfarve4 11 3" xfId="1417" xr:uid="{00000000-0005-0000-0000-000091010000}"/>
    <cellStyle name="20 % - Markeringsfarve4 12" xfId="403" xr:uid="{00000000-0005-0000-0000-000092010000}"/>
    <cellStyle name="20 % - Markeringsfarve4 12 2" xfId="917" xr:uid="{00000000-0005-0000-0000-000093010000}"/>
    <cellStyle name="20 % - Markeringsfarve4 12 2 2" xfId="1944" xr:uid="{00000000-0005-0000-0000-000094010000}"/>
    <cellStyle name="20 % - Markeringsfarve4 12 3" xfId="1431" xr:uid="{00000000-0005-0000-0000-000095010000}"/>
    <cellStyle name="20 % - Markeringsfarve4 13" xfId="424" xr:uid="{00000000-0005-0000-0000-000096010000}"/>
    <cellStyle name="20 % - Markeringsfarve4 13 2" xfId="938" xr:uid="{00000000-0005-0000-0000-000097010000}"/>
    <cellStyle name="20 % - Markeringsfarve4 13 2 2" xfId="1965" xr:uid="{00000000-0005-0000-0000-000098010000}"/>
    <cellStyle name="20 % - Markeringsfarve4 13 3" xfId="1452" xr:uid="{00000000-0005-0000-0000-000099010000}"/>
    <cellStyle name="20 % - Markeringsfarve4 14" xfId="440" xr:uid="{00000000-0005-0000-0000-00009A010000}"/>
    <cellStyle name="20 % - Markeringsfarve4 14 2" xfId="954" xr:uid="{00000000-0005-0000-0000-00009B010000}"/>
    <cellStyle name="20 % - Markeringsfarve4 14 2 2" xfId="1981" xr:uid="{00000000-0005-0000-0000-00009C010000}"/>
    <cellStyle name="20 % - Markeringsfarve4 14 3" xfId="1468" xr:uid="{00000000-0005-0000-0000-00009D010000}"/>
    <cellStyle name="20 % - Markeringsfarve4 15" xfId="462" xr:uid="{00000000-0005-0000-0000-00009E010000}"/>
    <cellStyle name="20 % - Markeringsfarve4 15 2" xfId="976" xr:uid="{00000000-0005-0000-0000-00009F010000}"/>
    <cellStyle name="20 % - Markeringsfarve4 15 2 2" xfId="2003" xr:uid="{00000000-0005-0000-0000-0000A0010000}"/>
    <cellStyle name="20 % - Markeringsfarve4 15 3" xfId="1490" xr:uid="{00000000-0005-0000-0000-0000A1010000}"/>
    <cellStyle name="20 % - Markeringsfarve4 16" xfId="492" xr:uid="{00000000-0005-0000-0000-0000A2010000}"/>
    <cellStyle name="20 % - Markeringsfarve4 16 2" xfId="1006" xr:uid="{00000000-0005-0000-0000-0000A3010000}"/>
    <cellStyle name="20 % - Markeringsfarve4 16 2 2" xfId="2033" xr:uid="{00000000-0005-0000-0000-0000A4010000}"/>
    <cellStyle name="20 % - Markeringsfarve4 16 3" xfId="1520" xr:uid="{00000000-0005-0000-0000-0000A5010000}"/>
    <cellStyle name="20 % - Markeringsfarve4 17" xfId="506" xr:uid="{00000000-0005-0000-0000-0000A6010000}"/>
    <cellStyle name="20 % - Markeringsfarve4 17 2" xfId="1020" xr:uid="{00000000-0005-0000-0000-0000A7010000}"/>
    <cellStyle name="20 % - Markeringsfarve4 17 2 2" xfId="2047" xr:uid="{00000000-0005-0000-0000-0000A8010000}"/>
    <cellStyle name="20 % - Markeringsfarve4 17 3" xfId="1534" xr:uid="{00000000-0005-0000-0000-0000A9010000}"/>
    <cellStyle name="20 % - Markeringsfarve4 18" xfId="548" xr:uid="{00000000-0005-0000-0000-0000AA010000}"/>
    <cellStyle name="20 % - Markeringsfarve4 18 2" xfId="1062" xr:uid="{00000000-0005-0000-0000-0000AB010000}"/>
    <cellStyle name="20 % - Markeringsfarve4 18 2 2" xfId="2089" xr:uid="{00000000-0005-0000-0000-0000AC010000}"/>
    <cellStyle name="20 % - Markeringsfarve4 18 3" xfId="1576" xr:uid="{00000000-0005-0000-0000-0000AD010000}"/>
    <cellStyle name="20 % - Markeringsfarve4 19" xfId="562" xr:uid="{00000000-0005-0000-0000-0000AE010000}"/>
    <cellStyle name="20 % - Markeringsfarve4 19 2" xfId="1076" xr:uid="{00000000-0005-0000-0000-0000AF010000}"/>
    <cellStyle name="20 % - Markeringsfarve4 19 2 2" xfId="2103" xr:uid="{00000000-0005-0000-0000-0000B0010000}"/>
    <cellStyle name="20 % - Markeringsfarve4 19 3" xfId="1590" xr:uid="{00000000-0005-0000-0000-0000B1010000}"/>
    <cellStyle name="20 % - Markeringsfarve4 2" xfId="204" xr:uid="{00000000-0005-0000-0000-0000B2010000}"/>
    <cellStyle name="20 % - Markeringsfarve4 2 2" xfId="719" xr:uid="{00000000-0005-0000-0000-0000B3010000}"/>
    <cellStyle name="20 % - Markeringsfarve4 2 2 2" xfId="1746" xr:uid="{00000000-0005-0000-0000-0000B4010000}"/>
    <cellStyle name="20 % - Markeringsfarve4 2 3" xfId="1233" xr:uid="{00000000-0005-0000-0000-0000B5010000}"/>
    <cellStyle name="20 % - Markeringsfarve4 3" xfId="224" xr:uid="{00000000-0005-0000-0000-0000B6010000}"/>
    <cellStyle name="20 % - Markeringsfarve4 3 2" xfId="739" xr:uid="{00000000-0005-0000-0000-0000B7010000}"/>
    <cellStyle name="20 % - Markeringsfarve4 3 2 2" xfId="1766" xr:uid="{00000000-0005-0000-0000-0000B8010000}"/>
    <cellStyle name="20 % - Markeringsfarve4 3 3" xfId="1253" xr:uid="{00000000-0005-0000-0000-0000B9010000}"/>
    <cellStyle name="20 % - Markeringsfarve4 4" xfId="240" xr:uid="{00000000-0005-0000-0000-0000BA010000}"/>
    <cellStyle name="20 % - Markeringsfarve4 4 2" xfId="755" xr:uid="{00000000-0005-0000-0000-0000BB010000}"/>
    <cellStyle name="20 % - Markeringsfarve4 4 2 2" xfId="1782" xr:uid="{00000000-0005-0000-0000-0000BC010000}"/>
    <cellStyle name="20 % - Markeringsfarve4 4 3" xfId="1269" xr:uid="{00000000-0005-0000-0000-0000BD010000}"/>
    <cellStyle name="20 % - Markeringsfarve4 5" xfId="254" xr:uid="{00000000-0005-0000-0000-0000BE010000}"/>
    <cellStyle name="20 % - Markeringsfarve4 5 2" xfId="769" xr:uid="{00000000-0005-0000-0000-0000BF010000}"/>
    <cellStyle name="20 % - Markeringsfarve4 5 2 2" xfId="1796" xr:uid="{00000000-0005-0000-0000-0000C0010000}"/>
    <cellStyle name="20 % - Markeringsfarve4 5 3" xfId="1283" xr:uid="{00000000-0005-0000-0000-0000C1010000}"/>
    <cellStyle name="20 % - Markeringsfarve4 6" xfId="269" xr:uid="{00000000-0005-0000-0000-0000C2010000}"/>
    <cellStyle name="20 % - Markeringsfarve4 6 2" xfId="784" xr:uid="{00000000-0005-0000-0000-0000C3010000}"/>
    <cellStyle name="20 % - Markeringsfarve4 6 2 2" xfId="1811" xr:uid="{00000000-0005-0000-0000-0000C4010000}"/>
    <cellStyle name="20 % - Markeringsfarve4 6 3" xfId="1298" xr:uid="{00000000-0005-0000-0000-0000C5010000}"/>
    <cellStyle name="20 % - Markeringsfarve4 7" xfId="283" xr:uid="{00000000-0005-0000-0000-0000C6010000}"/>
    <cellStyle name="20 % - Markeringsfarve4 7 2" xfId="798" xr:uid="{00000000-0005-0000-0000-0000C7010000}"/>
    <cellStyle name="20 % - Markeringsfarve4 7 2 2" xfId="1825" xr:uid="{00000000-0005-0000-0000-0000C8010000}"/>
    <cellStyle name="20 % - Markeringsfarve4 7 3" xfId="1312" xr:uid="{00000000-0005-0000-0000-0000C9010000}"/>
    <cellStyle name="20 % - Markeringsfarve4 8" xfId="298" xr:uid="{00000000-0005-0000-0000-0000CA010000}"/>
    <cellStyle name="20 % - Markeringsfarve4 8 2" xfId="813" xr:uid="{00000000-0005-0000-0000-0000CB010000}"/>
    <cellStyle name="20 % - Markeringsfarve4 8 2 2" xfId="1840" xr:uid="{00000000-0005-0000-0000-0000CC010000}"/>
    <cellStyle name="20 % - Markeringsfarve4 8 3" xfId="1327" xr:uid="{00000000-0005-0000-0000-0000CD010000}"/>
    <cellStyle name="20 % - Markeringsfarve4 9" xfId="336" xr:uid="{00000000-0005-0000-0000-0000CE010000}"/>
    <cellStyle name="20 % - Markeringsfarve4 9 2" xfId="850" xr:uid="{00000000-0005-0000-0000-0000CF010000}"/>
    <cellStyle name="20 % - Markeringsfarve4 9 2 2" xfId="1877" xr:uid="{00000000-0005-0000-0000-0000D0010000}"/>
    <cellStyle name="20 % - Markeringsfarve4 9 3" xfId="1364" xr:uid="{00000000-0005-0000-0000-0000D1010000}"/>
    <cellStyle name="20 % - Markeringsfarve5 10" xfId="358" xr:uid="{00000000-0005-0000-0000-0000D2010000}"/>
    <cellStyle name="20 % - Markeringsfarve5 10 2" xfId="872" xr:uid="{00000000-0005-0000-0000-0000D3010000}"/>
    <cellStyle name="20 % - Markeringsfarve5 10 2 2" xfId="1899" xr:uid="{00000000-0005-0000-0000-0000D4010000}"/>
    <cellStyle name="20 % - Markeringsfarve5 10 3" xfId="1386" xr:uid="{00000000-0005-0000-0000-0000D5010000}"/>
    <cellStyle name="20 % - Markeringsfarve5 11" xfId="391" xr:uid="{00000000-0005-0000-0000-0000D6010000}"/>
    <cellStyle name="20 % - Markeringsfarve5 11 2" xfId="905" xr:uid="{00000000-0005-0000-0000-0000D7010000}"/>
    <cellStyle name="20 % - Markeringsfarve5 11 2 2" xfId="1932" xr:uid="{00000000-0005-0000-0000-0000D8010000}"/>
    <cellStyle name="20 % - Markeringsfarve5 11 3" xfId="1419" xr:uid="{00000000-0005-0000-0000-0000D9010000}"/>
    <cellStyle name="20 % - Markeringsfarve5 12" xfId="405" xr:uid="{00000000-0005-0000-0000-0000DA010000}"/>
    <cellStyle name="20 % - Markeringsfarve5 12 2" xfId="919" xr:uid="{00000000-0005-0000-0000-0000DB010000}"/>
    <cellStyle name="20 % - Markeringsfarve5 12 2 2" xfId="1946" xr:uid="{00000000-0005-0000-0000-0000DC010000}"/>
    <cellStyle name="20 % - Markeringsfarve5 12 3" xfId="1433" xr:uid="{00000000-0005-0000-0000-0000DD010000}"/>
    <cellStyle name="20 % - Markeringsfarve5 13" xfId="426" xr:uid="{00000000-0005-0000-0000-0000DE010000}"/>
    <cellStyle name="20 % - Markeringsfarve5 13 2" xfId="940" xr:uid="{00000000-0005-0000-0000-0000DF010000}"/>
    <cellStyle name="20 % - Markeringsfarve5 13 2 2" xfId="1967" xr:uid="{00000000-0005-0000-0000-0000E0010000}"/>
    <cellStyle name="20 % - Markeringsfarve5 13 3" xfId="1454" xr:uid="{00000000-0005-0000-0000-0000E1010000}"/>
    <cellStyle name="20 % - Markeringsfarve5 14" xfId="442" xr:uid="{00000000-0005-0000-0000-0000E2010000}"/>
    <cellStyle name="20 % - Markeringsfarve5 14 2" xfId="956" xr:uid="{00000000-0005-0000-0000-0000E3010000}"/>
    <cellStyle name="20 % - Markeringsfarve5 14 2 2" xfId="1983" xr:uid="{00000000-0005-0000-0000-0000E4010000}"/>
    <cellStyle name="20 % - Markeringsfarve5 14 3" xfId="1470" xr:uid="{00000000-0005-0000-0000-0000E5010000}"/>
    <cellStyle name="20 % - Markeringsfarve5 15" xfId="464" xr:uid="{00000000-0005-0000-0000-0000E6010000}"/>
    <cellStyle name="20 % - Markeringsfarve5 15 2" xfId="978" xr:uid="{00000000-0005-0000-0000-0000E7010000}"/>
    <cellStyle name="20 % - Markeringsfarve5 15 2 2" xfId="2005" xr:uid="{00000000-0005-0000-0000-0000E8010000}"/>
    <cellStyle name="20 % - Markeringsfarve5 15 3" xfId="1492" xr:uid="{00000000-0005-0000-0000-0000E9010000}"/>
    <cellStyle name="20 % - Markeringsfarve5 16" xfId="494" xr:uid="{00000000-0005-0000-0000-0000EA010000}"/>
    <cellStyle name="20 % - Markeringsfarve5 16 2" xfId="1008" xr:uid="{00000000-0005-0000-0000-0000EB010000}"/>
    <cellStyle name="20 % - Markeringsfarve5 16 2 2" xfId="2035" xr:uid="{00000000-0005-0000-0000-0000EC010000}"/>
    <cellStyle name="20 % - Markeringsfarve5 16 3" xfId="1522" xr:uid="{00000000-0005-0000-0000-0000ED010000}"/>
    <cellStyle name="20 % - Markeringsfarve5 17" xfId="508" xr:uid="{00000000-0005-0000-0000-0000EE010000}"/>
    <cellStyle name="20 % - Markeringsfarve5 17 2" xfId="1022" xr:uid="{00000000-0005-0000-0000-0000EF010000}"/>
    <cellStyle name="20 % - Markeringsfarve5 17 2 2" xfId="2049" xr:uid="{00000000-0005-0000-0000-0000F0010000}"/>
    <cellStyle name="20 % - Markeringsfarve5 17 3" xfId="1536" xr:uid="{00000000-0005-0000-0000-0000F1010000}"/>
    <cellStyle name="20 % - Markeringsfarve5 18" xfId="550" xr:uid="{00000000-0005-0000-0000-0000F2010000}"/>
    <cellStyle name="20 % - Markeringsfarve5 18 2" xfId="1064" xr:uid="{00000000-0005-0000-0000-0000F3010000}"/>
    <cellStyle name="20 % - Markeringsfarve5 18 2 2" xfId="2091" xr:uid="{00000000-0005-0000-0000-0000F4010000}"/>
    <cellStyle name="20 % - Markeringsfarve5 18 3" xfId="1578" xr:uid="{00000000-0005-0000-0000-0000F5010000}"/>
    <cellStyle name="20 % - Markeringsfarve5 19" xfId="564" xr:uid="{00000000-0005-0000-0000-0000F6010000}"/>
    <cellStyle name="20 % - Markeringsfarve5 19 2" xfId="1078" xr:uid="{00000000-0005-0000-0000-0000F7010000}"/>
    <cellStyle name="20 % - Markeringsfarve5 19 2 2" xfId="2105" xr:uid="{00000000-0005-0000-0000-0000F8010000}"/>
    <cellStyle name="20 % - Markeringsfarve5 19 3" xfId="1592" xr:uid="{00000000-0005-0000-0000-0000F9010000}"/>
    <cellStyle name="20 % - Markeringsfarve5 2" xfId="206" xr:uid="{00000000-0005-0000-0000-0000FA010000}"/>
    <cellStyle name="20 % - Markeringsfarve5 2 2" xfId="721" xr:uid="{00000000-0005-0000-0000-0000FB010000}"/>
    <cellStyle name="20 % - Markeringsfarve5 2 2 2" xfId="1748" xr:uid="{00000000-0005-0000-0000-0000FC010000}"/>
    <cellStyle name="20 % - Markeringsfarve5 2 3" xfId="1235" xr:uid="{00000000-0005-0000-0000-0000FD010000}"/>
    <cellStyle name="20 % - Markeringsfarve5 3" xfId="226" xr:uid="{00000000-0005-0000-0000-0000FE010000}"/>
    <cellStyle name="20 % - Markeringsfarve5 3 2" xfId="741" xr:uid="{00000000-0005-0000-0000-0000FF010000}"/>
    <cellStyle name="20 % - Markeringsfarve5 3 2 2" xfId="1768" xr:uid="{00000000-0005-0000-0000-000000020000}"/>
    <cellStyle name="20 % - Markeringsfarve5 3 3" xfId="1255" xr:uid="{00000000-0005-0000-0000-000001020000}"/>
    <cellStyle name="20 % - Markeringsfarve5 4" xfId="242" xr:uid="{00000000-0005-0000-0000-000002020000}"/>
    <cellStyle name="20 % - Markeringsfarve5 4 2" xfId="757" xr:uid="{00000000-0005-0000-0000-000003020000}"/>
    <cellStyle name="20 % - Markeringsfarve5 4 2 2" xfId="1784" xr:uid="{00000000-0005-0000-0000-000004020000}"/>
    <cellStyle name="20 % - Markeringsfarve5 4 3" xfId="1271" xr:uid="{00000000-0005-0000-0000-000005020000}"/>
    <cellStyle name="20 % - Markeringsfarve5 5" xfId="256" xr:uid="{00000000-0005-0000-0000-000006020000}"/>
    <cellStyle name="20 % - Markeringsfarve5 5 2" xfId="771" xr:uid="{00000000-0005-0000-0000-000007020000}"/>
    <cellStyle name="20 % - Markeringsfarve5 5 2 2" xfId="1798" xr:uid="{00000000-0005-0000-0000-000008020000}"/>
    <cellStyle name="20 % - Markeringsfarve5 5 3" xfId="1285" xr:uid="{00000000-0005-0000-0000-000009020000}"/>
    <cellStyle name="20 % - Markeringsfarve5 6" xfId="271" xr:uid="{00000000-0005-0000-0000-00000A020000}"/>
    <cellStyle name="20 % - Markeringsfarve5 6 2" xfId="786" xr:uid="{00000000-0005-0000-0000-00000B020000}"/>
    <cellStyle name="20 % - Markeringsfarve5 6 2 2" xfId="1813" xr:uid="{00000000-0005-0000-0000-00000C020000}"/>
    <cellStyle name="20 % - Markeringsfarve5 6 3" xfId="1300" xr:uid="{00000000-0005-0000-0000-00000D020000}"/>
    <cellStyle name="20 % - Markeringsfarve5 7" xfId="285" xr:uid="{00000000-0005-0000-0000-00000E020000}"/>
    <cellStyle name="20 % - Markeringsfarve5 7 2" xfId="800" xr:uid="{00000000-0005-0000-0000-00000F020000}"/>
    <cellStyle name="20 % - Markeringsfarve5 7 2 2" xfId="1827" xr:uid="{00000000-0005-0000-0000-000010020000}"/>
    <cellStyle name="20 % - Markeringsfarve5 7 3" xfId="1314" xr:uid="{00000000-0005-0000-0000-000011020000}"/>
    <cellStyle name="20 % - Markeringsfarve5 8" xfId="300" xr:uid="{00000000-0005-0000-0000-000012020000}"/>
    <cellStyle name="20 % - Markeringsfarve5 8 2" xfId="815" xr:uid="{00000000-0005-0000-0000-000013020000}"/>
    <cellStyle name="20 % - Markeringsfarve5 8 2 2" xfId="1842" xr:uid="{00000000-0005-0000-0000-000014020000}"/>
    <cellStyle name="20 % - Markeringsfarve5 8 3" xfId="1329" xr:uid="{00000000-0005-0000-0000-000015020000}"/>
    <cellStyle name="20 % - Markeringsfarve5 9" xfId="338" xr:uid="{00000000-0005-0000-0000-000016020000}"/>
    <cellStyle name="20 % - Markeringsfarve5 9 2" xfId="852" xr:uid="{00000000-0005-0000-0000-000017020000}"/>
    <cellStyle name="20 % - Markeringsfarve5 9 2 2" xfId="1879" xr:uid="{00000000-0005-0000-0000-000018020000}"/>
    <cellStyle name="20 % - Markeringsfarve5 9 3" xfId="1366" xr:uid="{00000000-0005-0000-0000-000019020000}"/>
    <cellStyle name="20 % - Markeringsfarve6 10" xfId="360" xr:uid="{00000000-0005-0000-0000-00001A020000}"/>
    <cellStyle name="20 % - Markeringsfarve6 10 2" xfId="874" xr:uid="{00000000-0005-0000-0000-00001B020000}"/>
    <cellStyle name="20 % - Markeringsfarve6 10 2 2" xfId="1901" xr:uid="{00000000-0005-0000-0000-00001C020000}"/>
    <cellStyle name="20 % - Markeringsfarve6 10 3" xfId="1388" xr:uid="{00000000-0005-0000-0000-00001D020000}"/>
    <cellStyle name="20 % - Markeringsfarve6 11" xfId="393" xr:uid="{00000000-0005-0000-0000-00001E020000}"/>
    <cellStyle name="20 % - Markeringsfarve6 11 2" xfId="907" xr:uid="{00000000-0005-0000-0000-00001F020000}"/>
    <cellStyle name="20 % - Markeringsfarve6 11 2 2" xfId="1934" xr:uid="{00000000-0005-0000-0000-000020020000}"/>
    <cellStyle name="20 % - Markeringsfarve6 11 3" xfId="1421" xr:uid="{00000000-0005-0000-0000-000021020000}"/>
    <cellStyle name="20 % - Markeringsfarve6 12" xfId="407" xr:uid="{00000000-0005-0000-0000-000022020000}"/>
    <cellStyle name="20 % - Markeringsfarve6 12 2" xfId="921" xr:uid="{00000000-0005-0000-0000-000023020000}"/>
    <cellStyle name="20 % - Markeringsfarve6 12 2 2" xfId="1948" xr:uid="{00000000-0005-0000-0000-000024020000}"/>
    <cellStyle name="20 % - Markeringsfarve6 12 3" xfId="1435" xr:uid="{00000000-0005-0000-0000-000025020000}"/>
    <cellStyle name="20 % - Markeringsfarve6 13" xfId="428" xr:uid="{00000000-0005-0000-0000-000026020000}"/>
    <cellStyle name="20 % - Markeringsfarve6 13 2" xfId="942" xr:uid="{00000000-0005-0000-0000-000027020000}"/>
    <cellStyle name="20 % - Markeringsfarve6 13 2 2" xfId="1969" xr:uid="{00000000-0005-0000-0000-000028020000}"/>
    <cellStyle name="20 % - Markeringsfarve6 13 3" xfId="1456" xr:uid="{00000000-0005-0000-0000-000029020000}"/>
    <cellStyle name="20 % - Markeringsfarve6 14" xfId="444" xr:uid="{00000000-0005-0000-0000-00002A020000}"/>
    <cellStyle name="20 % - Markeringsfarve6 14 2" xfId="958" xr:uid="{00000000-0005-0000-0000-00002B020000}"/>
    <cellStyle name="20 % - Markeringsfarve6 14 2 2" xfId="1985" xr:uid="{00000000-0005-0000-0000-00002C020000}"/>
    <cellStyle name="20 % - Markeringsfarve6 14 3" xfId="1472" xr:uid="{00000000-0005-0000-0000-00002D020000}"/>
    <cellStyle name="20 % - Markeringsfarve6 15" xfId="466" xr:uid="{00000000-0005-0000-0000-00002E020000}"/>
    <cellStyle name="20 % - Markeringsfarve6 15 2" xfId="980" xr:uid="{00000000-0005-0000-0000-00002F020000}"/>
    <cellStyle name="20 % - Markeringsfarve6 15 2 2" xfId="2007" xr:uid="{00000000-0005-0000-0000-000030020000}"/>
    <cellStyle name="20 % - Markeringsfarve6 15 3" xfId="1494" xr:uid="{00000000-0005-0000-0000-000031020000}"/>
    <cellStyle name="20 % - Markeringsfarve6 16" xfId="496" xr:uid="{00000000-0005-0000-0000-000032020000}"/>
    <cellStyle name="20 % - Markeringsfarve6 16 2" xfId="1010" xr:uid="{00000000-0005-0000-0000-000033020000}"/>
    <cellStyle name="20 % - Markeringsfarve6 16 2 2" xfId="2037" xr:uid="{00000000-0005-0000-0000-000034020000}"/>
    <cellStyle name="20 % - Markeringsfarve6 16 3" xfId="1524" xr:uid="{00000000-0005-0000-0000-000035020000}"/>
    <cellStyle name="20 % - Markeringsfarve6 17" xfId="510" xr:uid="{00000000-0005-0000-0000-000036020000}"/>
    <cellStyle name="20 % - Markeringsfarve6 17 2" xfId="1024" xr:uid="{00000000-0005-0000-0000-000037020000}"/>
    <cellStyle name="20 % - Markeringsfarve6 17 2 2" xfId="2051" xr:uid="{00000000-0005-0000-0000-000038020000}"/>
    <cellStyle name="20 % - Markeringsfarve6 17 3" xfId="1538" xr:uid="{00000000-0005-0000-0000-000039020000}"/>
    <cellStyle name="20 % - Markeringsfarve6 18" xfId="552" xr:uid="{00000000-0005-0000-0000-00003A020000}"/>
    <cellStyle name="20 % - Markeringsfarve6 18 2" xfId="1066" xr:uid="{00000000-0005-0000-0000-00003B020000}"/>
    <cellStyle name="20 % - Markeringsfarve6 18 2 2" xfId="2093" xr:uid="{00000000-0005-0000-0000-00003C020000}"/>
    <cellStyle name="20 % - Markeringsfarve6 18 3" xfId="1580" xr:uid="{00000000-0005-0000-0000-00003D020000}"/>
    <cellStyle name="20 % - Markeringsfarve6 19" xfId="566" xr:uid="{00000000-0005-0000-0000-00003E020000}"/>
    <cellStyle name="20 % - Markeringsfarve6 19 2" xfId="1080" xr:uid="{00000000-0005-0000-0000-00003F020000}"/>
    <cellStyle name="20 % - Markeringsfarve6 19 2 2" xfId="2107" xr:uid="{00000000-0005-0000-0000-000040020000}"/>
    <cellStyle name="20 % - Markeringsfarve6 19 3" xfId="1594" xr:uid="{00000000-0005-0000-0000-000041020000}"/>
    <cellStyle name="20 % - Markeringsfarve6 2" xfId="208" xr:uid="{00000000-0005-0000-0000-000042020000}"/>
    <cellStyle name="20 % - Markeringsfarve6 2 2" xfId="723" xr:uid="{00000000-0005-0000-0000-000043020000}"/>
    <cellStyle name="20 % - Markeringsfarve6 2 2 2" xfId="1750" xr:uid="{00000000-0005-0000-0000-000044020000}"/>
    <cellStyle name="20 % - Markeringsfarve6 2 3" xfId="1237" xr:uid="{00000000-0005-0000-0000-000045020000}"/>
    <cellStyle name="20 % - Markeringsfarve6 3" xfId="228" xr:uid="{00000000-0005-0000-0000-000046020000}"/>
    <cellStyle name="20 % - Markeringsfarve6 3 2" xfId="743" xr:uid="{00000000-0005-0000-0000-000047020000}"/>
    <cellStyle name="20 % - Markeringsfarve6 3 2 2" xfId="1770" xr:uid="{00000000-0005-0000-0000-000048020000}"/>
    <cellStyle name="20 % - Markeringsfarve6 3 3" xfId="1257" xr:uid="{00000000-0005-0000-0000-000049020000}"/>
    <cellStyle name="20 % - Markeringsfarve6 4" xfId="244" xr:uid="{00000000-0005-0000-0000-00004A020000}"/>
    <cellStyle name="20 % - Markeringsfarve6 4 2" xfId="759" xr:uid="{00000000-0005-0000-0000-00004B020000}"/>
    <cellStyle name="20 % - Markeringsfarve6 4 2 2" xfId="1786" xr:uid="{00000000-0005-0000-0000-00004C020000}"/>
    <cellStyle name="20 % - Markeringsfarve6 4 3" xfId="1273" xr:uid="{00000000-0005-0000-0000-00004D020000}"/>
    <cellStyle name="20 % - Markeringsfarve6 5" xfId="258" xr:uid="{00000000-0005-0000-0000-00004E020000}"/>
    <cellStyle name="20 % - Markeringsfarve6 5 2" xfId="773" xr:uid="{00000000-0005-0000-0000-00004F020000}"/>
    <cellStyle name="20 % - Markeringsfarve6 5 2 2" xfId="1800" xr:uid="{00000000-0005-0000-0000-000050020000}"/>
    <cellStyle name="20 % - Markeringsfarve6 5 3" xfId="1287" xr:uid="{00000000-0005-0000-0000-000051020000}"/>
    <cellStyle name="20 % - Markeringsfarve6 6" xfId="273" xr:uid="{00000000-0005-0000-0000-000052020000}"/>
    <cellStyle name="20 % - Markeringsfarve6 6 2" xfId="788" xr:uid="{00000000-0005-0000-0000-000053020000}"/>
    <cellStyle name="20 % - Markeringsfarve6 6 2 2" xfId="1815" xr:uid="{00000000-0005-0000-0000-000054020000}"/>
    <cellStyle name="20 % - Markeringsfarve6 6 3" xfId="1302" xr:uid="{00000000-0005-0000-0000-000055020000}"/>
    <cellStyle name="20 % - Markeringsfarve6 7" xfId="287" xr:uid="{00000000-0005-0000-0000-000056020000}"/>
    <cellStyle name="20 % - Markeringsfarve6 7 2" xfId="802" xr:uid="{00000000-0005-0000-0000-000057020000}"/>
    <cellStyle name="20 % - Markeringsfarve6 7 2 2" xfId="1829" xr:uid="{00000000-0005-0000-0000-000058020000}"/>
    <cellStyle name="20 % - Markeringsfarve6 7 3" xfId="1316" xr:uid="{00000000-0005-0000-0000-000059020000}"/>
    <cellStyle name="20 % - Markeringsfarve6 8" xfId="302" xr:uid="{00000000-0005-0000-0000-00005A020000}"/>
    <cellStyle name="20 % - Markeringsfarve6 8 2" xfId="817" xr:uid="{00000000-0005-0000-0000-00005B020000}"/>
    <cellStyle name="20 % - Markeringsfarve6 8 2 2" xfId="1844" xr:uid="{00000000-0005-0000-0000-00005C020000}"/>
    <cellStyle name="20 % - Markeringsfarve6 8 3" xfId="1331" xr:uid="{00000000-0005-0000-0000-00005D020000}"/>
    <cellStyle name="20 % - Markeringsfarve6 9" xfId="340" xr:uid="{00000000-0005-0000-0000-00005E020000}"/>
    <cellStyle name="20 % - Markeringsfarve6 9 2" xfId="854" xr:uid="{00000000-0005-0000-0000-00005F020000}"/>
    <cellStyle name="20 % - Markeringsfarve6 9 2 2" xfId="1881" xr:uid="{00000000-0005-0000-0000-000060020000}"/>
    <cellStyle name="20 % - Markeringsfarve6 9 3" xfId="1368" xr:uid="{00000000-0005-0000-0000-000061020000}"/>
    <cellStyle name="40 % - Farve1" xfId="164" builtinId="31" customBuiltin="1"/>
    <cellStyle name="40 % - Farve1 2" xfId="365" xr:uid="{00000000-0005-0000-0000-000063020000}"/>
    <cellStyle name="40 % - Farve1 2 2" xfId="879" xr:uid="{00000000-0005-0000-0000-000064020000}"/>
    <cellStyle name="40 % - Farve1 2 2 2" xfId="1906" xr:uid="{00000000-0005-0000-0000-000065020000}"/>
    <cellStyle name="40 % - Farve1 2 3" xfId="1393" xr:uid="{00000000-0005-0000-0000-000066020000}"/>
    <cellStyle name="40 % - Farve1 3" xfId="473" xr:uid="{00000000-0005-0000-0000-000067020000}"/>
    <cellStyle name="40 % - Farve1 3 2" xfId="987" xr:uid="{00000000-0005-0000-0000-000068020000}"/>
    <cellStyle name="40 % - Farve1 3 2 2" xfId="2014" xr:uid="{00000000-0005-0000-0000-000069020000}"/>
    <cellStyle name="40 % - Farve1 3 3" xfId="1501" xr:uid="{00000000-0005-0000-0000-00006A020000}"/>
    <cellStyle name="40 % - Farve1 4" xfId="515" xr:uid="{00000000-0005-0000-0000-00006B020000}"/>
    <cellStyle name="40 % - Farve1 4 2" xfId="1029" xr:uid="{00000000-0005-0000-0000-00006C020000}"/>
    <cellStyle name="40 % - Farve1 4 2 2" xfId="2056" xr:uid="{00000000-0005-0000-0000-00006D020000}"/>
    <cellStyle name="40 % - Farve1 4 3" xfId="1543" xr:uid="{00000000-0005-0000-0000-00006E020000}"/>
    <cellStyle name="40 % - Farve1 5" xfId="529" xr:uid="{00000000-0005-0000-0000-00006F020000}"/>
    <cellStyle name="40 % - Farve1 5 2" xfId="1043" xr:uid="{00000000-0005-0000-0000-000070020000}"/>
    <cellStyle name="40 % - Farve1 5 2 2" xfId="2070" xr:uid="{00000000-0005-0000-0000-000071020000}"/>
    <cellStyle name="40 % - Farve1 5 3" xfId="1557" xr:uid="{00000000-0005-0000-0000-000072020000}"/>
    <cellStyle name="40 % - Farve1 6" xfId="571" xr:uid="{00000000-0005-0000-0000-000073020000}"/>
    <cellStyle name="40 % - Farve1 6 2" xfId="1085" xr:uid="{00000000-0005-0000-0000-000074020000}"/>
    <cellStyle name="40 % - Farve1 6 2 2" xfId="2112" xr:uid="{00000000-0005-0000-0000-000075020000}"/>
    <cellStyle name="40 % - Farve1 6 3" xfId="1599" xr:uid="{00000000-0005-0000-0000-000076020000}"/>
    <cellStyle name="40 % - Farve1 7" xfId="695" xr:uid="{00000000-0005-0000-0000-000077020000}"/>
    <cellStyle name="40 % - Farve1 7 2" xfId="1723" xr:uid="{00000000-0005-0000-0000-000078020000}"/>
    <cellStyle name="40 % - Farve1 8" xfId="1210" xr:uid="{00000000-0005-0000-0000-000079020000}"/>
    <cellStyle name="40 % - Farve1 9" xfId="2129" xr:uid="{00000000-0005-0000-0000-00007A020000}"/>
    <cellStyle name="40 % - Farve2" xfId="168" builtinId="35" customBuiltin="1"/>
    <cellStyle name="40 % - Farve2 2" xfId="367" xr:uid="{00000000-0005-0000-0000-00007C020000}"/>
    <cellStyle name="40 % - Farve2 2 2" xfId="881" xr:uid="{00000000-0005-0000-0000-00007D020000}"/>
    <cellStyle name="40 % - Farve2 2 2 2" xfId="1908" xr:uid="{00000000-0005-0000-0000-00007E020000}"/>
    <cellStyle name="40 % - Farve2 2 3" xfId="1395" xr:uid="{00000000-0005-0000-0000-00007F020000}"/>
    <cellStyle name="40 % - Farve2 3" xfId="475" xr:uid="{00000000-0005-0000-0000-000080020000}"/>
    <cellStyle name="40 % - Farve2 3 2" xfId="989" xr:uid="{00000000-0005-0000-0000-000081020000}"/>
    <cellStyle name="40 % - Farve2 3 2 2" xfId="2016" xr:uid="{00000000-0005-0000-0000-000082020000}"/>
    <cellStyle name="40 % - Farve2 3 3" xfId="1503" xr:uid="{00000000-0005-0000-0000-000083020000}"/>
    <cellStyle name="40 % - Farve2 4" xfId="517" xr:uid="{00000000-0005-0000-0000-000084020000}"/>
    <cellStyle name="40 % - Farve2 4 2" xfId="1031" xr:uid="{00000000-0005-0000-0000-000085020000}"/>
    <cellStyle name="40 % - Farve2 4 2 2" xfId="2058" xr:uid="{00000000-0005-0000-0000-000086020000}"/>
    <cellStyle name="40 % - Farve2 4 3" xfId="1545" xr:uid="{00000000-0005-0000-0000-000087020000}"/>
    <cellStyle name="40 % - Farve2 5" xfId="531" xr:uid="{00000000-0005-0000-0000-000088020000}"/>
    <cellStyle name="40 % - Farve2 5 2" xfId="1045" xr:uid="{00000000-0005-0000-0000-000089020000}"/>
    <cellStyle name="40 % - Farve2 5 2 2" xfId="2072" xr:uid="{00000000-0005-0000-0000-00008A020000}"/>
    <cellStyle name="40 % - Farve2 5 3" xfId="1559" xr:uid="{00000000-0005-0000-0000-00008B020000}"/>
    <cellStyle name="40 % - Farve2 6" xfId="573" xr:uid="{00000000-0005-0000-0000-00008C020000}"/>
    <cellStyle name="40 % - Farve2 6 2" xfId="1087" xr:uid="{00000000-0005-0000-0000-00008D020000}"/>
    <cellStyle name="40 % - Farve2 6 2 2" xfId="2114" xr:uid="{00000000-0005-0000-0000-00008E020000}"/>
    <cellStyle name="40 % - Farve2 6 3" xfId="1601" xr:uid="{00000000-0005-0000-0000-00008F020000}"/>
    <cellStyle name="40 % - Farve2 7" xfId="697" xr:uid="{00000000-0005-0000-0000-000090020000}"/>
    <cellStyle name="40 % - Farve2 7 2" xfId="1725" xr:uid="{00000000-0005-0000-0000-000091020000}"/>
    <cellStyle name="40 % - Farve2 8" xfId="1212" xr:uid="{00000000-0005-0000-0000-000092020000}"/>
    <cellStyle name="40 % - Farve2 9" xfId="2132" xr:uid="{00000000-0005-0000-0000-000093020000}"/>
    <cellStyle name="40 % - Farve3" xfId="172" builtinId="39" customBuiltin="1"/>
    <cellStyle name="40 % - Farve3 2" xfId="369" xr:uid="{00000000-0005-0000-0000-000095020000}"/>
    <cellStyle name="40 % - Farve3 2 2" xfId="883" xr:uid="{00000000-0005-0000-0000-000096020000}"/>
    <cellStyle name="40 % - Farve3 2 2 2" xfId="1910" xr:uid="{00000000-0005-0000-0000-000097020000}"/>
    <cellStyle name="40 % - Farve3 2 3" xfId="1397" xr:uid="{00000000-0005-0000-0000-000098020000}"/>
    <cellStyle name="40 % - Farve3 3" xfId="477" xr:uid="{00000000-0005-0000-0000-000099020000}"/>
    <cellStyle name="40 % - Farve3 3 2" xfId="991" xr:uid="{00000000-0005-0000-0000-00009A020000}"/>
    <cellStyle name="40 % - Farve3 3 2 2" xfId="2018" xr:uid="{00000000-0005-0000-0000-00009B020000}"/>
    <cellStyle name="40 % - Farve3 3 3" xfId="1505" xr:uid="{00000000-0005-0000-0000-00009C020000}"/>
    <cellStyle name="40 % - Farve3 4" xfId="519" xr:uid="{00000000-0005-0000-0000-00009D020000}"/>
    <cellStyle name="40 % - Farve3 4 2" xfId="1033" xr:uid="{00000000-0005-0000-0000-00009E020000}"/>
    <cellStyle name="40 % - Farve3 4 2 2" xfId="2060" xr:uid="{00000000-0005-0000-0000-00009F020000}"/>
    <cellStyle name="40 % - Farve3 4 3" xfId="1547" xr:uid="{00000000-0005-0000-0000-0000A0020000}"/>
    <cellStyle name="40 % - Farve3 5" xfId="533" xr:uid="{00000000-0005-0000-0000-0000A1020000}"/>
    <cellStyle name="40 % - Farve3 5 2" xfId="1047" xr:uid="{00000000-0005-0000-0000-0000A2020000}"/>
    <cellStyle name="40 % - Farve3 5 2 2" xfId="2074" xr:uid="{00000000-0005-0000-0000-0000A3020000}"/>
    <cellStyle name="40 % - Farve3 5 3" xfId="1561" xr:uid="{00000000-0005-0000-0000-0000A4020000}"/>
    <cellStyle name="40 % - Farve3 6" xfId="575" xr:uid="{00000000-0005-0000-0000-0000A5020000}"/>
    <cellStyle name="40 % - Farve3 6 2" xfId="1089" xr:uid="{00000000-0005-0000-0000-0000A6020000}"/>
    <cellStyle name="40 % - Farve3 6 2 2" xfId="2116" xr:uid="{00000000-0005-0000-0000-0000A7020000}"/>
    <cellStyle name="40 % - Farve3 6 3" xfId="1603" xr:uid="{00000000-0005-0000-0000-0000A8020000}"/>
    <cellStyle name="40 % - Farve3 7" xfId="699" xr:uid="{00000000-0005-0000-0000-0000A9020000}"/>
    <cellStyle name="40 % - Farve3 7 2" xfId="1727" xr:uid="{00000000-0005-0000-0000-0000AA020000}"/>
    <cellStyle name="40 % - Farve3 8" xfId="1214" xr:uid="{00000000-0005-0000-0000-0000AB020000}"/>
    <cellStyle name="40 % - Farve3 9" xfId="2135" xr:uid="{00000000-0005-0000-0000-0000AC020000}"/>
    <cellStyle name="40 % - Farve4" xfId="176" builtinId="43" customBuiltin="1"/>
    <cellStyle name="40 % - Farve4 2" xfId="371" xr:uid="{00000000-0005-0000-0000-0000AE020000}"/>
    <cellStyle name="40 % - Farve4 2 2" xfId="885" xr:uid="{00000000-0005-0000-0000-0000AF020000}"/>
    <cellStyle name="40 % - Farve4 2 2 2" xfId="1912" xr:uid="{00000000-0005-0000-0000-0000B0020000}"/>
    <cellStyle name="40 % - Farve4 2 3" xfId="1399" xr:uid="{00000000-0005-0000-0000-0000B1020000}"/>
    <cellStyle name="40 % - Farve4 3" xfId="479" xr:uid="{00000000-0005-0000-0000-0000B2020000}"/>
    <cellStyle name="40 % - Farve4 3 2" xfId="993" xr:uid="{00000000-0005-0000-0000-0000B3020000}"/>
    <cellStyle name="40 % - Farve4 3 2 2" xfId="2020" xr:uid="{00000000-0005-0000-0000-0000B4020000}"/>
    <cellStyle name="40 % - Farve4 3 3" xfId="1507" xr:uid="{00000000-0005-0000-0000-0000B5020000}"/>
    <cellStyle name="40 % - Farve4 4" xfId="521" xr:uid="{00000000-0005-0000-0000-0000B6020000}"/>
    <cellStyle name="40 % - Farve4 4 2" xfId="1035" xr:uid="{00000000-0005-0000-0000-0000B7020000}"/>
    <cellStyle name="40 % - Farve4 4 2 2" xfId="2062" xr:uid="{00000000-0005-0000-0000-0000B8020000}"/>
    <cellStyle name="40 % - Farve4 4 3" xfId="1549" xr:uid="{00000000-0005-0000-0000-0000B9020000}"/>
    <cellStyle name="40 % - Farve4 5" xfId="535" xr:uid="{00000000-0005-0000-0000-0000BA020000}"/>
    <cellStyle name="40 % - Farve4 5 2" xfId="1049" xr:uid="{00000000-0005-0000-0000-0000BB020000}"/>
    <cellStyle name="40 % - Farve4 5 2 2" xfId="2076" xr:uid="{00000000-0005-0000-0000-0000BC020000}"/>
    <cellStyle name="40 % - Farve4 5 3" xfId="1563" xr:uid="{00000000-0005-0000-0000-0000BD020000}"/>
    <cellStyle name="40 % - Farve4 6" xfId="577" xr:uid="{00000000-0005-0000-0000-0000BE020000}"/>
    <cellStyle name="40 % - Farve4 6 2" xfId="1091" xr:uid="{00000000-0005-0000-0000-0000BF020000}"/>
    <cellStyle name="40 % - Farve4 6 2 2" xfId="2118" xr:uid="{00000000-0005-0000-0000-0000C0020000}"/>
    <cellStyle name="40 % - Farve4 6 3" xfId="1605" xr:uid="{00000000-0005-0000-0000-0000C1020000}"/>
    <cellStyle name="40 % - Farve4 7" xfId="701" xr:uid="{00000000-0005-0000-0000-0000C2020000}"/>
    <cellStyle name="40 % - Farve4 7 2" xfId="1729" xr:uid="{00000000-0005-0000-0000-0000C3020000}"/>
    <cellStyle name="40 % - Farve4 8" xfId="1216" xr:uid="{00000000-0005-0000-0000-0000C4020000}"/>
    <cellStyle name="40 % - Farve4 9" xfId="2138" xr:uid="{00000000-0005-0000-0000-0000C5020000}"/>
    <cellStyle name="40 % - Farve5" xfId="180" builtinId="47" customBuiltin="1"/>
    <cellStyle name="40 % - Farve5 2" xfId="373" xr:uid="{00000000-0005-0000-0000-0000C7020000}"/>
    <cellStyle name="40 % - Farve5 2 2" xfId="887" xr:uid="{00000000-0005-0000-0000-0000C8020000}"/>
    <cellStyle name="40 % - Farve5 2 2 2" xfId="1914" xr:uid="{00000000-0005-0000-0000-0000C9020000}"/>
    <cellStyle name="40 % - Farve5 2 3" xfId="1401" xr:uid="{00000000-0005-0000-0000-0000CA020000}"/>
    <cellStyle name="40 % - Farve5 3" xfId="481" xr:uid="{00000000-0005-0000-0000-0000CB020000}"/>
    <cellStyle name="40 % - Farve5 3 2" xfId="995" xr:uid="{00000000-0005-0000-0000-0000CC020000}"/>
    <cellStyle name="40 % - Farve5 3 2 2" xfId="2022" xr:uid="{00000000-0005-0000-0000-0000CD020000}"/>
    <cellStyle name="40 % - Farve5 3 3" xfId="1509" xr:uid="{00000000-0005-0000-0000-0000CE020000}"/>
    <cellStyle name="40 % - Farve5 4" xfId="523" xr:uid="{00000000-0005-0000-0000-0000CF020000}"/>
    <cellStyle name="40 % - Farve5 4 2" xfId="1037" xr:uid="{00000000-0005-0000-0000-0000D0020000}"/>
    <cellStyle name="40 % - Farve5 4 2 2" xfId="2064" xr:uid="{00000000-0005-0000-0000-0000D1020000}"/>
    <cellStyle name="40 % - Farve5 4 3" xfId="1551" xr:uid="{00000000-0005-0000-0000-0000D2020000}"/>
    <cellStyle name="40 % - Farve5 5" xfId="537" xr:uid="{00000000-0005-0000-0000-0000D3020000}"/>
    <cellStyle name="40 % - Farve5 5 2" xfId="1051" xr:uid="{00000000-0005-0000-0000-0000D4020000}"/>
    <cellStyle name="40 % - Farve5 5 2 2" xfId="2078" xr:uid="{00000000-0005-0000-0000-0000D5020000}"/>
    <cellStyle name="40 % - Farve5 5 3" xfId="1565" xr:uid="{00000000-0005-0000-0000-0000D6020000}"/>
    <cellStyle name="40 % - Farve5 6" xfId="579" xr:uid="{00000000-0005-0000-0000-0000D7020000}"/>
    <cellStyle name="40 % - Farve5 6 2" xfId="1093" xr:uid="{00000000-0005-0000-0000-0000D8020000}"/>
    <cellStyle name="40 % - Farve5 6 2 2" xfId="2120" xr:uid="{00000000-0005-0000-0000-0000D9020000}"/>
    <cellStyle name="40 % - Farve5 6 3" xfId="1607" xr:uid="{00000000-0005-0000-0000-0000DA020000}"/>
    <cellStyle name="40 % - Farve5 7" xfId="703" xr:uid="{00000000-0005-0000-0000-0000DB020000}"/>
    <cellStyle name="40 % - Farve5 7 2" xfId="1731" xr:uid="{00000000-0005-0000-0000-0000DC020000}"/>
    <cellStyle name="40 % - Farve5 8" xfId="1218" xr:uid="{00000000-0005-0000-0000-0000DD020000}"/>
    <cellStyle name="40 % - Farve5 9" xfId="2141" xr:uid="{00000000-0005-0000-0000-0000DE020000}"/>
    <cellStyle name="40 % - Farve6" xfId="184" builtinId="51" customBuiltin="1"/>
    <cellStyle name="40 % - Farve6 2" xfId="375" xr:uid="{00000000-0005-0000-0000-0000E0020000}"/>
    <cellStyle name="40 % - Farve6 2 2" xfId="889" xr:uid="{00000000-0005-0000-0000-0000E1020000}"/>
    <cellStyle name="40 % - Farve6 2 2 2" xfId="1916" xr:uid="{00000000-0005-0000-0000-0000E2020000}"/>
    <cellStyle name="40 % - Farve6 2 3" xfId="1403" xr:uid="{00000000-0005-0000-0000-0000E3020000}"/>
    <cellStyle name="40 % - Farve6 3" xfId="483" xr:uid="{00000000-0005-0000-0000-0000E4020000}"/>
    <cellStyle name="40 % - Farve6 3 2" xfId="997" xr:uid="{00000000-0005-0000-0000-0000E5020000}"/>
    <cellStyle name="40 % - Farve6 3 2 2" xfId="2024" xr:uid="{00000000-0005-0000-0000-0000E6020000}"/>
    <cellStyle name="40 % - Farve6 3 3" xfId="1511" xr:uid="{00000000-0005-0000-0000-0000E7020000}"/>
    <cellStyle name="40 % - Farve6 4" xfId="525" xr:uid="{00000000-0005-0000-0000-0000E8020000}"/>
    <cellStyle name="40 % - Farve6 4 2" xfId="1039" xr:uid="{00000000-0005-0000-0000-0000E9020000}"/>
    <cellStyle name="40 % - Farve6 4 2 2" xfId="2066" xr:uid="{00000000-0005-0000-0000-0000EA020000}"/>
    <cellStyle name="40 % - Farve6 4 3" xfId="1553" xr:uid="{00000000-0005-0000-0000-0000EB020000}"/>
    <cellStyle name="40 % - Farve6 5" xfId="539" xr:uid="{00000000-0005-0000-0000-0000EC020000}"/>
    <cellStyle name="40 % - Farve6 5 2" xfId="1053" xr:uid="{00000000-0005-0000-0000-0000ED020000}"/>
    <cellStyle name="40 % - Farve6 5 2 2" xfId="2080" xr:uid="{00000000-0005-0000-0000-0000EE020000}"/>
    <cellStyle name="40 % - Farve6 5 3" xfId="1567" xr:uid="{00000000-0005-0000-0000-0000EF020000}"/>
    <cellStyle name="40 % - Farve6 6" xfId="581" xr:uid="{00000000-0005-0000-0000-0000F0020000}"/>
    <cellStyle name="40 % - Farve6 6 2" xfId="1095" xr:uid="{00000000-0005-0000-0000-0000F1020000}"/>
    <cellStyle name="40 % - Farve6 6 2 2" xfId="2122" xr:uid="{00000000-0005-0000-0000-0000F2020000}"/>
    <cellStyle name="40 % - Farve6 6 3" xfId="1609" xr:uid="{00000000-0005-0000-0000-0000F3020000}"/>
    <cellStyle name="40 % - Farve6 7" xfId="705" xr:uid="{00000000-0005-0000-0000-0000F4020000}"/>
    <cellStyle name="40 % - Farve6 7 2" xfId="1733" xr:uid="{00000000-0005-0000-0000-0000F5020000}"/>
    <cellStyle name="40 % - Farve6 8" xfId="1220" xr:uid="{00000000-0005-0000-0000-0000F6020000}"/>
    <cellStyle name="40 % - Farve6 9" xfId="2144" xr:uid="{00000000-0005-0000-0000-0000F7020000}"/>
    <cellStyle name="40 % - Markeringsfarve1 10" xfId="351" xr:uid="{00000000-0005-0000-0000-0000F8020000}"/>
    <cellStyle name="40 % - Markeringsfarve1 10 2" xfId="865" xr:uid="{00000000-0005-0000-0000-0000F9020000}"/>
    <cellStyle name="40 % - Markeringsfarve1 10 2 2" xfId="1892" xr:uid="{00000000-0005-0000-0000-0000FA020000}"/>
    <cellStyle name="40 % - Markeringsfarve1 10 3" xfId="1379" xr:uid="{00000000-0005-0000-0000-0000FB020000}"/>
    <cellStyle name="40 % - Markeringsfarve1 11" xfId="384" xr:uid="{00000000-0005-0000-0000-0000FC020000}"/>
    <cellStyle name="40 % - Markeringsfarve1 11 2" xfId="898" xr:uid="{00000000-0005-0000-0000-0000FD020000}"/>
    <cellStyle name="40 % - Markeringsfarve1 11 2 2" xfId="1925" xr:uid="{00000000-0005-0000-0000-0000FE020000}"/>
    <cellStyle name="40 % - Markeringsfarve1 11 3" xfId="1412" xr:uid="{00000000-0005-0000-0000-0000FF020000}"/>
    <cellStyle name="40 % - Markeringsfarve1 12" xfId="398" xr:uid="{00000000-0005-0000-0000-000000030000}"/>
    <cellStyle name="40 % - Markeringsfarve1 12 2" xfId="912" xr:uid="{00000000-0005-0000-0000-000001030000}"/>
    <cellStyle name="40 % - Markeringsfarve1 12 2 2" xfId="1939" xr:uid="{00000000-0005-0000-0000-000002030000}"/>
    <cellStyle name="40 % - Markeringsfarve1 12 3" xfId="1426" xr:uid="{00000000-0005-0000-0000-000003030000}"/>
    <cellStyle name="40 % - Markeringsfarve1 13" xfId="419" xr:uid="{00000000-0005-0000-0000-000004030000}"/>
    <cellStyle name="40 % - Markeringsfarve1 13 2" xfId="933" xr:uid="{00000000-0005-0000-0000-000005030000}"/>
    <cellStyle name="40 % - Markeringsfarve1 13 2 2" xfId="1960" xr:uid="{00000000-0005-0000-0000-000006030000}"/>
    <cellStyle name="40 % - Markeringsfarve1 13 3" xfId="1447" xr:uid="{00000000-0005-0000-0000-000007030000}"/>
    <cellStyle name="40 % - Markeringsfarve1 14" xfId="435" xr:uid="{00000000-0005-0000-0000-000008030000}"/>
    <cellStyle name="40 % - Markeringsfarve1 14 2" xfId="949" xr:uid="{00000000-0005-0000-0000-000009030000}"/>
    <cellStyle name="40 % - Markeringsfarve1 14 2 2" xfId="1976" xr:uid="{00000000-0005-0000-0000-00000A030000}"/>
    <cellStyle name="40 % - Markeringsfarve1 14 3" xfId="1463" xr:uid="{00000000-0005-0000-0000-00000B030000}"/>
    <cellStyle name="40 % - Markeringsfarve1 15" xfId="457" xr:uid="{00000000-0005-0000-0000-00000C030000}"/>
    <cellStyle name="40 % - Markeringsfarve1 15 2" xfId="971" xr:uid="{00000000-0005-0000-0000-00000D030000}"/>
    <cellStyle name="40 % - Markeringsfarve1 15 2 2" xfId="1998" xr:uid="{00000000-0005-0000-0000-00000E030000}"/>
    <cellStyle name="40 % - Markeringsfarve1 15 3" xfId="1485" xr:uid="{00000000-0005-0000-0000-00000F030000}"/>
    <cellStyle name="40 % - Markeringsfarve1 16" xfId="487" xr:uid="{00000000-0005-0000-0000-000010030000}"/>
    <cellStyle name="40 % - Markeringsfarve1 16 2" xfId="1001" xr:uid="{00000000-0005-0000-0000-000011030000}"/>
    <cellStyle name="40 % - Markeringsfarve1 16 2 2" xfId="2028" xr:uid="{00000000-0005-0000-0000-000012030000}"/>
    <cellStyle name="40 % - Markeringsfarve1 16 3" xfId="1515" xr:uid="{00000000-0005-0000-0000-000013030000}"/>
    <cellStyle name="40 % - Markeringsfarve1 17" xfId="501" xr:uid="{00000000-0005-0000-0000-000014030000}"/>
    <cellStyle name="40 % - Markeringsfarve1 17 2" xfId="1015" xr:uid="{00000000-0005-0000-0000-000015030000}"/>
    <cellStyle name="40 % - Markeringsfarve1 17 2 2" xfId="2042" xr:uid="{00000000-0005-0000-0000-000016030000}"/>
    <cellStyle name="40 % - Markeringsfarve1 17 3" xfId="1529" xr:uid="{00000000-0005-0000-0000-000017030000}"/>
    <cellStyle name="40 % - Markeringsfarve1 18" xfId="543" xr:uid="{00000000-0005-0000-0000-000018030000}"/>
    <cellStyle name="40 % - Markeringsfarve1 18 2" xfId="1057" xr:uid="{00000000-0005-0000-0000-000019030000}"/>
    <cellStyle name="40 % - Markeringsfarve1 18 2 2" xfId="2084" xr:uid="{00000000-0005-0000-0000-00001A030000}"/>
    <cellStyle name="40 % - Markeringsfarve1 18 3" xfId="1571" xr:uid="{00000000-0005-0000-0000-00001B030000}"/>
    <cellStyle name="40 % - Markeringsfarve1 19" xfId="557" xr:uid="{00000000-0005-0000-0000-00001C030000}"/>
    <cellStyle name="40 % - Markeringsfarve1 19 2" xfId="1071" xr:uid="{00000000-0005-0000-0000-00001D030000}"/>
    <cellStyle name="40 % - Markeringsfarve1 19 2 2" xfId="2098" xr:uid="{00000000-0005-0000-0000-00001E030000}"/>
    <cellStyle name="40 % - Markeringsfarve1 19 3" xfId="1585" xr:uid="{00000000-0005-0000-0000-00001F030000}"/>
    <cellStyle name="40 % - Markeringsfarve1 2" xfId="199" xr:uid="{00000000-0005-0000-0000-000020030000}"/>
    <cellStyle name="40 % - Markeringsfarve1 2 2" xfId="714" xr:uid="{00000000-0005-0000-0000-000021030000}"/>
    <cellStyle name="40 % - Markeringsfarve1 2 2 2" xfId="1741" xr:uid="{00000000-0005-0000-0000-000022030000}"/>
    <cellStyle name="40 % - Markeringsfarve1 2 3" xfId="1228" xr:uid="{00000000-0005-0000-0000-000023030000}"/>
    <cellStyle name="40 % - Markeringsfarve1 3" xfId="219" xr:uid="{00000000-0005-0000-0000-000024030000}"/>
    <cellStyle name="40 % - Markeringsfarve1 3 2" xfId="734" xr:uid="{00000000-0005-0000-0000-000025030000}"/>
    <cellStyle name="40 % - Markeringsfarve1 3 2 2" xfId="1761" xr:uid="{00000000-0005-0000-0000-000026030000}"/>
    <cellStyle name="40 % - Markeringsfarve1 3 3" xfId="1248" xr:uid="{00000000-0005-0000-0000-000027030000}"/>
    <cellStyle name="40 % - Markeringsfarve1 4" xfId="235" xr:uid="{00000000-0005-0000-0000-000028030000}"/>
    <cellStyle name="40 % - Markeringsfarve1 4 2" xfId="750" xr:uid="{00000000-0005-0000-0000-000029030000}"/>
    <cellStyle name="40 % - Markeringsfarve1 4 2 2" xfId="1777" xr:uid="{00000000-0005-0000-0000-00002A030000}"/>
    <cellStyle name="40 % - Markeringsfarve1 4 3" xfId="1264" xr:uid="{00000000-0005-0000-0000-00002B030000}"/>
    <cellStyle name="40 % - Markeringsfarve1 5" xfId="249" xr:uid="{00000000-0005-0000-0000-00002C030000}"/>
    <cellStyle name="40 % - Markeringsfarve1 5 2" xfId="764" xr:uid="{00000000-0005-0000-0000-00002D030000}"/>
    <cellStyle name="40 % - Markeringsfarve1 5 2 2" xfId="1791" xr:uid="{00000000-0005-0000-0000-00002E030000}"/>
    <cellStyle name="40 % - Markeringsfarve1 5 3" xfId="1278" xr:uid="{00000000-0005-0000-0000-00002F030000}"/>
    <cellStyle name="40 % - Markeringsfarve1 6" xfId="264" xr:uid="{00000000-0005-0000-0000-000030030000}"/>
    <cellStyle name="40 % - Markeringsfarve1 6 2" xfId="779" xr:uid="{00000000-0005-0000-0000-000031030000}"/>
    <cellStyle name="40 % - Markeringsfarve1 6 2 2" xfId="1806" xr:uid="{00000000-0005-0000-0000-000032030000}"/>
    <cellStyle name="40 % - Markeringsfarve1 6 3" xfId="1293" xr:uid="{00000000-0005-0000-0000-000033030000}"/>
    <cellStyle name="40 % - Markeringsfarve1 7" xfId="278" xr:uid="{00000000-0005-0000-0000-000034030000}"/>
    <cellStyle name="40 % - Markeringsfarve1 7 2" xfId="793" xr:uid="{00000000-0005-0000-0000-000035030000}"/>
    <cellStyle name="40 % - Markeringsfarve1 7 2 2" xfId="1820" xr:uid="{00000000-0005-0000-0000-000036030000}"/>
    <cellStyle name="40 % - Markeringsfarve1 7 3" xfId="1307" xr:uid="{00000000-0005-0000-0000-000037030000}"/>
    <cellStyle name="40 % - Markeringsfarve1 8" xfId="293" xr:uid="{00000000-0005-0000-0000-000038030000}"/>
    <cellStyle name="40 % - Markeringsfarve1 8 2" xfId="808" xr:uid="{00000000-0005-0000-0000-000039030000}"/>
    <cellStyle name="40 % - Markeringsfarve1 8 2 2" xfId="1835" xr:uid="{00000000-0005-0000-0000-00003A030000}"/>
    <cellStyle name="40 % - Markeringsfarve1 8 3" xfId="1322" xr:uid="{00000000-0005-0000-0000-00003B030000}"/>
    <cellStyle name="40 % - Markeringsfarve1 9" xfId="331" xr:uid="{00000000-0005-0000-0000-00003C030000}"/>
    <cellStyle name="40 % - Markeringsfarve1 9 2" xfId="845" xr:uid="{00000000-0005-0000-0000-00003D030000}"/>
    <cellStyle name="40 % - Markeringsfarve1 9 2 2" xfId="1872" xr:uid="{00000000-0005-0000-0000-00003E030000}"/>
    <cellStyle name="40 % - Markeringsfarve1 9 3" xfId="1359" xr:uid="{00000000-0005-0000-0000-00003F030000}"/>
    <cellStyle name="40 % - Markeringsfarve2 10" xfId="353" xr:uid="{00000000-0005-0000-0000-000040030000}"/>
    <cellStyle name="40 % - Markeringsfarve2 10 2" xfId="867" xr:uid="{00000000-0005-0000-0000-000041030000}"/>
    <cellStyle name="40 % - Markeringsfarve2 10 2 2" xfId="1894" xr:uid="{00000000-0005-0000-0000-000042030000}"/>
    <cellStyle name="40 % - Markeringsfarve2 10 3" xfId="1381" xr:uid="{00000000-0005-0000-0000-000043030000}"/>
    <cellStyle name="40 % - Markeringsfarve2 11" xfId="386" xr:uid="{00000000-0005-0000-0000-000044030000}"/>
    <cellStyle name="40 % - Markeringsfarve2 11 2" xfId="900" xr:uid="{00000000-0005-0000-0000-000045030000}"/>
    <cellStyle name="40 % - Markeringsfarve2 11 2 2" xfId="1927" xr:uid="{00000000-0005-0000-0000-000046030000}"/>
    <cellStyle name="40 % - Markeringsfarve2 11 3" xfId="1414" xr:uid="{00000000-0005-0000-0000-000047030000}"/>
    <cellStyle name="40 % - Markeringsfarve2 12" xfId="400" xr:uid="{00000000-0005-0000-0000-000048030000}"/>
    <cellStyle name="40 % - Markeringsfarve2 12 2" xfId="914" xr:uid="{00000000-0005-0000-0000-000049030000}"/>
    <cellStyle name="40 % - Markeringsfarve2 12 2 2" xfId="1941" xr:uid="{00000000-0005-0000-0000-00004A030000}"/>
    <cellStyle name="40 % - Markeringsfarve2 12 3" xfId="1428" xr:uid="{00000000-0005-0000-0000-00004B030000}"/>
    <cellStyle name="40 % - Markeringsfarve2 13" xfId="421" xr:uid="{00000000-0005-0000-0000-00004C030000}"/>
    <cellStyle name="40 % - Markeringsfarve2 13 2" xfId="935" xr:uid="{00000000-0005-0000-0000-00004D030000}"/>
    <cellStyle name="40 % - Markeringsfarve2 13 2 2" xfId="1962" xr:uid="{00000000-0005-0000-0000-00004E030000}"/>
    <cellStyle name="40 % - Markeringsfarve2 13 3" xfId="1449" xr:uid="{00000000-0005-0000-0000-00004F030000}"/>
    <cellStyle name="40 % - Markeringsfarve2 14" xfId="437" xr:uid="{00000000-0005-0000-0000-000050030000}"/>
    <cellStyle name="40 % - Markeringsfarve2 14 2" xfId="951" xr:uid="{00000000-0005-0000-0000-000051030000}"/>
    <cellStyle name="40 % - Markeringsfarve2 14 2 2" xfId="1978" xr:uid="{00000000-0005-0000-0000-000052030000}"/>
    <cellStyle name="40 % - Markeringsfarve2 14 3" xfId="1465" xr:uid="{00000000-0005-0000-0000-000053030000}"/>
    <cellStyle name="40 % - Markeringsfarve2 15" xfId="459" xr:uid="{00000000-0005-0000-0000-000054030000}"/>
    <cellStyle name="40 % - Markeringsfarve2 15 2" xfId="973" xr:uid="{00000000-0005-0000-0000-000055030000}"/>
    <cellStyle name="40 % - Markeringsfarve2 15 2 2" xfId="2000" xr:uid="{00000000-0005-0000-0000-000056030000}"/>
    <cellStyle name="40 % - Markeringsfarve2 15 3" xfId="1487" xr:uid="{00000000-0005-0000-0000-000057030000}"/>
    <cellStyle name="40 % - Markeringsfarve2 16" xfId="489" xr:uid="{00000000-0005-0000-0000-000058030000}"/>
    <cellStyle name="40 % - Markeringsfarve2 16 2" xfId="1003" xr:uid="{00000000-0005-0000-0000-000059030000}"/>
    <cellStyle name="40 % - Markeringsfarve2 16 2 2" xfId="2030" xr:uid="{00000000-0005-0000-0000-00005A030000}"/>
    <cellStyle name="40 % - Markeringsfarve2 16 3" xfId="1517" xr:uid="{00000000-0005-0000-0000-00005B030000}"/>
    <cellStyle name="40 % - Markeringsfarve2 17" xfId="503" xr:uid="{00000000-0005-0000-0000-00005C030000}"/>
    <cellStyle name="40 % - Markeringsfarve2 17 2" xfId="1017" xr:uid="{00000000-0005-0000-0000-00005D030000}"/>
    <cellStyle name="40 % - Markeringsfarve2 17 2 2" xfId="2044" xr:uid="{00000000-0005-0000-0000-00005E030000}"/>
    <cellStyle name="40 % - Markeringsfarve2 17 3" xfId="1531" xr:uid="{00000000-0005-0000-0000-00005F030000}"/>
    <cellStyle name="40 % - Markeringsfarve2 18" xfId="545" xr:uid="{00000000-0005-0000-0000-000060030000}"/>
    <cellStyle name="40 % - Markeringsfarve2 18 2" xfId="1059" xr:uid="{00000000-0005-0000-0000-000061030000}"/>
    <cellStyle name="40 % - Markeringsfarve2 18 2 2" xfId="2086" xr:uid="{00000000-0005-0000-0000-000062030000}"/>
    <cellStyle name="40 % - Markeringsfarve2 18 3" xfId="1573" xr:uid="{00000000-0005-0000-0000-000063030000}"/>
    <cellStyle name="40 % - Markeringsfarve2 19" xfId="559" xr:uid="{00000000-0005-0000-0000-000064030000}"/>
    <cellStyle name="40 % - Markeringsfarve2 19 2" xfId="1073" xr:uid="{00000000-0005-0000-0000-000065030000}"/>
    <cellStyle name="40 % - Markeringsfarve2 19 2 2" xfId="2100" xr:uid="{00000000-0005-0000-0000-000066030000}"/>
    <cellStyle name="40 % - Markeringsfarve2 19 3" xfId="1587" xr:uid="{00000000-0005-0000-0000-000067030000}"/>
    <cellStyle name="40 % - Markeringsfarve2 2" xfId="201" xr:uid="{00000000-0005-0000-0000-000068030000}"/>
    <cellStyle name="40 % - Markeringsfarve2 2 2" xfId="716" xr:uid="{00000000-0005-0000-0000-000069030000}"/>
    <cellStyle name="40 % - Markeringsfarve2 2 2 2" xfId="1743" xr:uid="{00000000-0005-0000-0000-00006A030000}"/>
    <cellStyle name="40 % - Markeringsfarve2 2 3" xfId="1230" xr:uid="{00000000-0005-0000-0000-00006B030000}"/>
    <cellStyle name="40 % - Markeringsfarve2 3" xfId="221" xr:uid="{00000000-0005-0000-0000-00006C030000}"/>
    <cellStyle name="40 % - Markeringsfarve2 3 2" xfId="736" xr:uid="{00000000-0005-0000-0000-00006D030000}"/>
    <cellStyle name="40 % - Markeringsfarve2 3 2 2" xfId="1763" xr:uid="{00000000-0005-0000-0000-00006E030000}"/>
    <cellStyle name="40 % - Markeringsfarve2 3 3" xfId="1250" xr:uid="{00000000-0005-0000-0000-00006F030000}"/>
    <cellStyle name="40 % - Markeringsfarve2 4" xfId="237" xr:uid="{00000000-0005-0000-0000-000070030000}"/>
    <cellStyle name="40 % - Markeringsfarve2 4 2" xfId="752" xr:uid="{00000000-0005-0000-0000-000071030000}"/>
    <cellStyle name="40 % - Markeringsfarve2 4 2 2" xfId="1779" xr:uid="{00000000-0005-0000-0000-000072030000}"/>
    <cellStyle name="40 % - Markeringsfarve2 4 3" xfId="1266" xr:uid="{00000000-0005-0000-0000-000073030000}"/>
    <cellStyle name="40 % - Markeringsfarve2 5" xfId="251" xr:uid="{00000000-0005-0000-0000-000074030000}"/>
    <cellStyle name="40 % - Markeringsfarve2 5 2" xfId="766" xr:uid="{00000000-0005-0000-0000-000075030000}"/>
    <cellStyle name="40 % - Markeringsfarve2 5 2 2" xfId="1793" xr:uid="{00000000-0005-0000-0000-000076030000}"/>
    <cellStyle name="40 % - Markeringsfarve2 5 3" xfId="1280" xr:uid="{00000000-0005-0000-0000-000077030000}"/>
    <cellStyle name="40 % - Markeringsfarve2 6" xfId="266" xr:uid="{00000000-0005-0000-0000-000078030000}"/>
    <cellStyle name="40 % - Markeringsfarve2 6 2" xfId="781" xr:uid="{00000000-0005-0000-0000-000079030000}"/>
    <cellStyle name="40 % - Markeringsfarve2 6 2 2" xfId="1808" xr:uid="{00000000-0005-0000-0000-00007A030000}"/>
    <cellStyle name="40 % - Markeringsfarve2 6 3" xfId="1295" xr:uid="{00000000-0005-0000-0000-00007B030000}"/>
    <cellStyle name="40 % - Markeringsfarve2 7" xfId="280" xr:uid="{00000000-0005-0000-0000-00007C030000}"/>
    <cellStyle name="40 % - Markeringsfarve2 7 2" xfId="795" xr:uid="{00000000-0005-0000-0000-00007D030000}"/>
    <cellStyle name="40 % - Markeringsfarve2 7 2 2" xfId="1822" xr:uid="{00000000-0005-0000-0000-00007E030000}"/>
    <cellStyle name="40 % - Markeringsfarve2 7 3" xfId="1309" xr:uid="{00000000-0005-0000-0000-00007F030000}"/>
    <cellStyle name="40 % - Markeringsfarve2 8" xfId="295" xr:uid="{00000000-0005-0000-0000-000080030000}"/>
    <cellStyle name="40 % - Markeringsfarve2 8 2" xfId="810" xr:uid="{00000000-0005-0000-0000-000081030000}"/>
    <cellStyle name="40 % - Markeringsfarve2 8 2 2" xfId="1837" xr:uid="{00000000-0005-0000-0000-000082030000}"/>
    <cellStyle name="40 % - Markeringsfarve2 8 3" xfId="1324" xr:uid="{00000000-0005-0000-0000-000083030000}"/>
    <cellStyle name="40 % - Markeringsfarve2 9" xfId="333" xr:uid="{00000000-0005-0000-0000-000084030000}"/>
    <cellStyle name="40 % - Markeringsfarve2 9 2" xfId="847" xr:uid="{00000000-0005-0000-0000-000085030000}"/>
    <cellStyle name="40 % - Markeringsfarve2 9 2 2" xfId="1874" xr:uid="{00000000-0005-0000-0000-000086030000}"/>
    <cellStyle name="40 % - Markeringsfarve2 9 3" xfId="1361" xr:uid="{00000000-0005-0000-0000-000087030000}"/>
    <cellStyle name="40 % - Markeringsfarve3 10" xfId="355" xr:uid="{00000000-0005-0000-0000-000088030000}"/>
    <cellStyle name="40 % - Markeringsfarve3 10 2" xfId="869" xr:uid="{00000000-0005-0000-0000-000089030000}"/>
    <cellStyle name="40 % - Markeringsfarve3 10 2 2" xfId="1896" xr:uid="{00000000-0005-0000-0000-00008A030000}"/>
    <cellStyle name="40 % - Markeringsfarve3 10 3" xfId="1383" xr:uid="{00000000-0005-0000-0000-00008B030000}"/>
    <cellStyle name="40 % - Markeringsfarve3 11" xfId="388" xr:uid="{00000000-0005-0000-0000-00008C030000}"/>
    <cellStyle name="40 % - Markeringsfarve3 11 2" xfId="902" xr:uid="{00000000-0005-0000-0000-00008D030000}"/>
    <cellStyle name="40 % - Markeringsfarve3 11 2 2" xfId="1929" xr:uid="{00000000-0005-0000-0000-00008E030000}"/>
    <cellStyle name="40 % - Markeringsfarve3 11 3" xfId="1416" xr:uid="{00000000-0005-0000-0000-00008F030000}"/>
    <cellStyle name="40 % - Markeringsfarve3 12" xfId="402" xr:uid="{00000000-0005-0000-0000-000090030000}"/>
    <cellStyle name="40 % - Markeringsfarve3 12 2" xfId="916" xr:uid="{00000000-0005-0000-0000-000091030000}"/>
    <cellStyle name="40 % - Markeringsfarve3 12 2 2" xfId="1943" xr:uid="{00000000-0005-0000-0000-000092030000}"/>
    <cellStyle name="40 % - Markeringsfarve3 12 3" xfId="1430" xr:uid="{00000000-0005-0000-0000-000093030000}"/>
    <cellStyle name="40 % - Markeringsfarve3 13" xfId="423" xr:uid="{00000000-0005-0000-0000-000094030000}"/>
    <cellStyle name="40 % - Markeringsfarve3 13 2" xfId="937" xr:uid="{00000000-0005-0000-0000-000095030000}"/>
    <cellStyle name="40 % - Markeringsfarve3 13 2 2" xfId="1964" xr:uid="{00000000-0005-0000-0000-000096030000}"/>
    <cellStyle name="40 % - Markeringsfarve3 13 3" xfId="1451" xr:uid="{00000000-0005-0000-0000-000097030000}"/>
    <cellStyle name="40 % - Markeringsfarve3 14" xfId="439" xr:uid="{00000000-0005-0000-0000-000098030000}"/>
    <cellStyle name="40 % - Markeringsfarve3 14 2" xfId="953" xr:uid="{00000000-0005-0000-0000-000099030000}"/>
    <cellStyle name="40 % - Markeringsfarve3 14 2 2" xfId="1980" xr:uid="{00000000-0005-0000-0000-00009A030000}"/>
    <cellStyle name="40 % - Markeringsfarve3 14 3" xfId="1467" xr:uid="{00000000-0005-0000-0000-00009B030000}"/>
    <cellStyle name="40 % - Markeringsfarve3 15" xfId="461" xr:uid="{00000000-0005-0000-0000-00009C030000}"/>
    <cellStyle name="40 % - Markeringsfarve3 15 2" xfId="975" xr:uid="{00000000-0005-0000-0000-00009D030000}"/>
    <cellStyle name="40 % - Markeringsfarve3 15 2 2" xfId="2002" xr:uid="{00000000-0005-0000-0000-00009E030000}"/>
    <cellStyle name="40 % - Markeringsfarve3 15 3" xfId="1489" xr:uid="{00000000-0005-0000-0000-00009F030000}"/>
    <cellStyle name="40 % - Markeringsfarve3 16" xfId="491" xr:uid="{00000000-0005-0000-0000-0000A0030000}"/>
    <cellStyle name="40 % - Markeringsfarve3 16 2" xfId="1005" xr:uid="{00000000-0005-0000-0000-0000A1030000}"/>
    <cellStyle name="40 % - Markeringsfarve3 16 2 2" xfId="2032" xr:uid="{00000000-0005-0000-0000-0000A2030000}"/>
    <cellStyle name="40 % - Markeringsfarve3 16 3" xfId="1519" xr:uid="{00000000-0005-0000-0000-0000A3030000}"/>
    <cellStyle name="40 % - Markeringsfarve3 17" xfId="505" xr:uid="{00000000-0005-0000-0000-0000A4030000}"/>
    <cellStyle name="40 % - Markeringsfarve3 17 2" xfId="1019" xr:uid="{00000000-0005-0000-0000-0000A5030000}"/>
    <cellStyle name="40 % - Markeringsfarve3 17 2 2" xfId="2046" xr:uid="{00000000-0005-0000-0000-0000A6030000}"/>
    <cellStyle name="40 % - Markeringsfarve3 17 3" xfId="1533" xr:uid="{00000000-0005-0000-0000-0000A7030000}"/>
    <cellStyle name="40 % - Markeringsfarve3 18" xfId="547" xr:uid="{00000000-0005-0000-0000-0000A8030000}"/>
    <cellStyle name="40 % - Markeringsfarve3 18 2" xfId="1061" xr:uid="{00000000-0005-0000-0000-0000A9030000}"/>
    <cellStyle name="40 % - Markeringsfarve3 18 2 2" xfId="2088" xr:uid="{00000000-0005-0000-0000-0000AA030000}"/>
    <cellStyle name="40 % - Markeringsfarve3 18 3" xfId="1575" xr:uid="{00000000-0005-0000-0000-0000AB030000}"/>
    <cellStyle name="40 % - Markeringsfarve3 19" xfId="561" xr:uid="{00000000-0005-0000-0000-0000AC030000}"/>
    <cellStyle name="40 % - Markeringsfarve3 19 2" xfId="1075" xr:uid="{00000000-0005-0000-0000-0000AD030000}"/>
    <cellStyle name="40 % - Markeringsfarve3 19 2 2" xfId="2102" xr:uid="{00000000-0005-0000-0000-0000AE030000}"/>
    <cellStyle name="40 % - Markeringsfarve3 19 3" xfId="1589" xr:uid="{00000000-0005-0000-0000-0000AF030000}"/>
    <cellStyle name="40 % - Markeringsfarve3 2" xfId="203" xr:uid="{00000000-0005-0000-0000-0000B0030000}"/>
    <cellStyle name="40 % - Markeringsfarve3 2 2" xfId="718" xr:uid="{00000000-0005-0000-0000-0000B1030000}"/>
    <cellStyle name="40 % - Markeringsfarve3 2 2 2" xfId="1745" xr:uid="{00000000-0005-0000-0000-0000B2030000}"/>
    <cellStyle name="40 % - Markeringsfarve3 2 3" xfId="1232" xr:uid="{00000000-0005-0000-0000-0000B3030000}"/>
    <cellStyle name="40 % - Markeringsfarve3 3" xfId="223" xr:uid="{00000000-0005-0000-0000-0000B4030000}"/>
    <cellStyle name="40 % - Markeringsfarve3 3 2" xfId="738" xr:uid="{00000000-0005-0000-0000-0000B5030000}"/>
    <cellStyle name="40 % - Markeringsfarve3 3 2 2" xfId="1765" xr:uid="{00000000-0005-0000-0000-0000B6030000}"/>
    <cellStyle name="40 % - Markeringsfarve3 3 3" xfId="1252" xr:uid="{00000000-0005-0000-0000-0000B7030000}"/>
    <cellStyle name="40 % - Markeringsfarve3 4" xfId="239" xr:uid="{00000000-0005-0000-0000-0000B8030000}"/>
    <cellStyle name="40 % - Markeringsfarve3 4 2" xfId="754" xr:uid="{00000000-0005-0000-0000-0000B9030000}"/>
    <cellStyle name="40 % - Markeringsfarve3 4 2 2" xfId="1781" xr:uid="{00000000-0005-0000-0000-0000BA030000}"/>
    <cellStyle name="40 % - Markeringsfarve3 4 3" xfId="1268" xr:uid="{00000000-0005-0000-0000-0000BB030000}"/>
    <cellStyle name="40 % - Markeringsfarve3 5" xfId="253" xr:uid="{00000000-0005-0000-0000-0000BC030000}"/>
    <cellStyle name="40 % - Markeringsfarve3 5 2" xfId="768" xr:uid="{00000000-0005-0000-0000-0000BD030000}"/>
    <cellStyle name="40 % - Markeringsfarve3 5 2 2" xfId="1795" xr:uid="{00000000-0005-0000-0000-0000BE030000}"/>
    <cellStyle name="40 % - Markeringsfarve3 5 3" xfId="1282" xr:uid="{00000000-0005-0000-0000-0000BF030000}"/>
    <cellStyle name="40 % - Markeringsfarve3 6" xfId="268" xr:uid="{00000000-0005-0000-0000-0000C0030000}"/>
    <cellStyle name="40 % - Markeringsfarve3 6 2" xfId="783" xr:uid="{00000000-0005-0000-0000-0000C1030000}"/>
    <cellStyle name="40 % - Markeringsfarve3 6 2 2" xfId="1810" xr:uid="{00000000-0005-0000-0000-0000C2030000}"/>
    <cellStyle name="40 % - Markeringsfarve3 6 3" xfId="1297" xr:uid="{00000000-0005-0000-0000-0000C3030000}"/>
    <cellStyle name="40 % - Markeringsfarve3 7" xfId="282" xr:uid="{00000000-0005-0000-0000-0000C4030000}"/>
    <cellStyle name="40 % - Markeringsfarve3 7 2" xfId="797" xr:uid="{00000000-0005-0000-0000-0000C5030000}"/>
    <cellStyle name="40 % - Markeringsfarve3 7 2 2" xfId="1824" xr:uid="{00000000-0005-0000-0000-0000C6030000}"/>
    <cellStyle name="40 % - Markeringsfarve3 7 3" xfId="1311" xr:uid="{00000000-0005-0000-0000-0000C7030000}"/>
    <cellStyle name="40 % - Markeringsfarve3 8" xfId="297" xr:uid="{00000000-0005-0000-0000-0000C8030000}"/>
    <cellStyle name="40 % - Markeringsfarve3 8 2" xfId="812" xr:uid="{00000000-0005-0000-0000-0000C9030000}"/>
    <cellStyle name="40 % - Markeringsfarve3 8 2 2" xfId="1839" xr:uid="{00000000-0005-0000-0000-0000CA030000}"/>
    <cellStyle name="40 % - Markeringsfarve3 8 3" xfId="1326" xr:uid="{00000000-0005-0000-0000-0000CB030000}"/>
    <cellStyle name="40 % - Markeringsfarve3 9" xfId="335" xr:uid="{00000000-0005-0000-0000-0000CC030000}"/>
    <cellStyle name="40 % - Markeringsfarve3 9 2" xfId="849" xr:uid="{00000000-0005-0000-0000-0000CD030000}"/>
    <cellStyle name="40 % - Markeringsfarve3 9 2 2" xfId="1876" xr:uid="{00000000-0005-0000-0000-0000CE030000}"/>
    <cellStyle name="40 % - Markeringsfarve3 9 3" xfId="1363" xr:uid="{00000000-0005-0000-0000-0000CF030000}"/>
    <cellStyle name="40 % - Markeringsfarve4 10" xfId="357" xr:uid="{00000000-0005-0000-0000-0000D0030000}"/>
    <cellStyle name="40 % - Markeringsfarve4 10 2" xfId="871" xr:uid="{00000000-0005-0000-0000-0000D1030000}"/>
    <cellStyle name="40 % - Markeringsfarve4 10 2 2" xfId="1898" xr:uid="{00000000-0005-0000-0000-0000D2030000}"/>
    <cellStyle name="40 % - Markeringsfarve4 10 3" xfId="1385" xr:uid="{00000000-0005-0000-0000-0000D3030000}"/>
    <cellStyle name="40 % - Markeringsfarve4 11" xfId="390" xr:uid="{00000000-0005-0000-0000-0000D4030000}"/>
    <cellStyle name="40 % - Markeringsfarve4 11 2" xfId="904" xr:uid="{00000000-0005-0000-0000-0000D5030000}"/>
    <cellStyle name="40 % - Markeringsfarve4 11 2 2" xfId="1931" xr:uid="{00000000-0005-0000-0000-0000D6030000}"/>
    <cellStyle name="40 % - Markeringsfarve4 11 3" xfId="1418" xr:uid="{00000000-0005-0000-0000-0000D7030000}"/>
    <cellStyle name="40 % - Markeringsfarve4 12" xfId="404" xr:uid="{00000000-0005-0000-0000-0000D8030000}"/>
    <cellStyle name="40 % - Markeringsfarve4 12 2" xfId="918" xr:uid="{00000000-0005-0000-0000-0000D9030000}"/>
    <cellStyle name="40 % - Markeringsfarve4 12 2 2" xfId="1945" xr:uid="{00000000-0005-0000-0000-0000DA030000}"/>
    <cellStyle name="40 % - Markeringsfarve4 12 3" xfId="1432" xr:uid="{00000000-0005-0000-0000-0000DB030000}"/>
    <cellStyle name="40 % - Markeringsfarve4 13" xfId="425" xr:uid="{00000000-0005-0000-0000-0000DC030000}"/>
    <cellStyle name="40 % - Markeringsfarve4 13 2" xfId="939" xr:uid="{00000000-0005-0000-0000-0000DD030000}"/>
    <cellStyle name="40 % - Markeringsfarve4 13 2 2" xfId="1966" xr:uid="{00000000-0005-0000-0000-0000DE030000}"/>
    <cellStyle name="40 % - Markeringsfarve4 13 3" xfId="1453" xr:uid="{00000000-0005-0000-0000-0000DF030000}"/>
    <cellStyle name="40 % - Markeringsfarve4 14" xfId="441" xr:uid="{00000000-0005-0000-0000-0000E0030000}"/>
    <cellStyle name="40 % - Markeringsfarve4 14 2" xfId="955" xr:uid="{00000000-0005-0000-0000-0000E1030000}"/>
    <cellStyle name="40 % - Markeringsfarve4 14 2 2" xfId="1982" xr:uid="{00000000-0005-0000-0000-0000E2030000}"/>
    <cellStyle name="40 % - Markeringsfarve4 14 3" xfId="1469" xr:uid="{00000000-0005-0000-0000-0000E3030000}"/>
    <cellStyle name="40 % - Markeringsfarve4 15" xfId="463" xr:uid="{00000000-0005-0000-0000-0000E4030000}"/>
    <cellStyle name="40 % - Markeringsfarve4 15 2" xfId="977" xr:uid="{00000000-0005-0000-0000-0000E5030000}"/>
    <cellStyle name="40 % - Markeringsfarve4 15 2 2" xfId="2004" xr:uid="{00000000-0005-0000-0000-0000E6030000}"/>
    <cellStyle name="40 % - Markeringsfarve4 15 3" xfId="1491" xr:uid="{00000000-0005-0000-0000-0000E7030000}"/>
    <cellStyle name="40 % - Markeringsfarve4 16" xfId="493" xr:uid="{00000000-0005-0000-0000-0000E8030000}"/>
    <cellStyle name="40 % - Markeringsfarve4 16 2" xfId="1007" xr:uid="{00000000-0005-0000-0000-0000E9030000}"/>
    <cellStyle name="40 % - Markeringsfarve4 16 2 2" xfId="2034" xr:uid="{00000000-0005-0000-0000-0000EA030000}"/>
    <cellStyle name="40 % - Markeringsfarve4 16 3" xfId="1521" xr:uid="{00000000-0005-0000-0000-0000EB030000}"/>
    <cellStyle name="40 % - Markeringsfarve4 17" xfId="507" xr:uid="{00000000-0005-0000-0000-0000EC030000}"/>
    <cellStyle name="40 % - Markeringsfarve4 17 2" xfId="1021" xr:uid="{00000000-0005-0000-0000-0000ED030000}"/>
    <cellStyle name="40 % - Markeringsfarve4 17 2 2" xfId="2048" xr:uid="{00000000-0005-0000-0000-0000EE030000}"/>
    <cellStyle name="40 % - Markeringsfarve4 17 3" xfId="1535" xr:uid="{00000000-0005-0000-0000-0000EF030000}"/>
    <cellStyle name="40 % - Markeringsfarve4 18" xfId="549" xr:uid="{00000000-0005-0000-0000-0000F0030000}"/>
    <cellStyle name="40 % - Markeringsfarve4 18 2" xfId="1063" xr:uid="{00000000-0005-0000-0000-0000F1030000}"/>
    <cellStyle name="40 % - Markeringsfarve4 18 2 2" xfId="2090" xr:uid="{00000000-0005-0000-0000-0000F2030000}"/>
    <cellStyle name="40 % - Markeringsfarve4 18 3" xfId="1577" xr:uid="{00000000-0005-0000-0000-0000F3030000}"/>
    <cellStyle name="40 % - Markeringsfarve4 19" xfId="563" xr:uid="{00000000-0005-0000-0000-0000F4030000}"/>
    <cellStyle name="40 % - Markeringsfarve4 19 2" xfId="1077" xr:uid="{00000000-0005-0000-0000-0000F5030000}"/>
    <cellStyle name="40 % - Markeringsfarve4 19 2 2" xfId="2104" xr:uid="{00000000-0005-0000-0000-0000F6030000}"/>
    <cellStyle name="40 % - Markeringsfarve4 19 3" xfId="1591" xr:uid="{00000000-0005-0000-0000-0000F7030000}"/>
    <cellStyle name="40 % - Markeringsfarve4 2" xfId="205" xr:uid="{00000000-0005-0000-0000-0000F8030000}"/>
    <cellStyle name="40 % - Markeringsfarve4 2 2" xfId="720" xr:uid="{00000000-0005-0000-0000-0000F9030000}"/>
    <cellStyle name="40 % - Markeringsfarve4 2 2 2" xfId="1747" xr:uid="{00000000-0005-0000-0000-0000FA030000}"/>
    <cellStyle name="40 % - Markeringsfarve4 2 3" xfId="1234" xr:uid="{00000000-0005-0000-0000-0000FB030000}"/>
    <cellStyle name="40 % - Markeringsfarve4 3" xfId="225" xr:uid="{00000000-0005-0000-0000-0000FC030000}"/>
    <cellStyle name="40 % - Markeringsfarve4 3 2" xfId="740" xr:uid="{00000000-0005-0000-0000-0000FD030000}"/>
    <cellStyle name="40 % - Markeringsfarve4 3 2 2" xfId="1767" xr:uid="{00000000-0005-0000-0000-0000FE030000}"/>
    <cellStyle name="40 % - Markeringsfarve4 3 3" xfId="1254" xr:uid="{00000000-0005-0000-0000-0000FF030000}"/>
    <cellStyle name="40 % - Markeringsfarve4 4" xfId="241" xr:uid="{00000000-0005-0000-0000-000000040000}"/>
    <cellStyle name="40 % - Markeringsfarve4 4 2" xfId="756" xr:uid="{00000000-0005-0000-0000-000001040000}"/>
    <cellStyle name="40 % - Markeringsfarve4 4 2 2" xfId="1783" xr:uid="{00000000-0005-0000-0000-000002040000}"/>
    <cellStyle name="40 % - Markeringsfarve4 4 3" xfId="1270" xr:uid="{00000000-0005-0000-0000-000003040000}"/>
    <cellStyle name="40 % - Markeringsfarve4 5" xfId="255" xr:uid="{00000000-0005-0000-0000-000004040000}"/>
    <cellStyle name="40 % - Markeringsfarve4 5 2" xfId="770" xr:uid="{00000000-0005-0000-0000-000005040000}"/>
    <cellStyle name="40 % - Markeringsfarve4 5 2 2" xfId="1797" xr:uid="{00000000-0005-0000-0000-000006040000}"/>
    <cellStyle name="40 % - Markeringsfarve4 5 3" xfId="1284" xr:uid="{00000000-0005-0000-0000-000007040000}"/>
    <cellStyle name="40 % - Markeringsfarve4 6" xfId="270" xr:uid="{00000000-0005-0000-0000-000008040000}"/>
    <cellStyle name="40 % - Markeringsfarve4 6 2" xfId="785" xr:uid="{00000000-0005-0000-0000-000009040000}"/>
    <cellStyle name="40 % - Markeringsfarve4 6 2 2" xfId="1812" xr:uid="{00000000-0005-0000-0000-00000A040000}"/>
    <cellStyle name="40 % - Markeringsfarve4 6 3" xfId="1299" xr:uid="{00000000-0005-0000-0000-00000B040000}"/>
    <cellStyle name="40 % - Markeringsfarve4 7" xfId="284" xr:uid="{00000000-0005-0000-0000-00000C040000}"/>
    <cellStyle name="40 % - Markeringsfarve4 7 2" xfId="799" xr:uid="{00000000-0005-0000-0000-00000D040000}"/>
    <cellStyle name="40 % - Markeringsfarve4 7 2 2" xfId="1826" xr:uid="{00000000-0005-0000-0000-00000E040000}"/>
    <cellStyle name="40 % - Markeringsfarve4 7 3" xfId="1313" xr:uid="{00000000-0005-0000-0000-00000F040000}"/>
    <cellStyle name="40 % - Markeringsfarve4 8" xfId="299" xr:uid="{00000000-0005-0000-0000-000010040000}"/>
    <cellStyle name="40 % - Markeringsfarve4 8 2" xfId="814" xr:uid="{00000000-0005-0000-0000-000011040000}"/>
    <cellStyle name="40 % - Markeringsfarve4 8 2 2" xfId="1841" xr:uid="{00000000-0005-0000-0000-000012040000}"/>
    <cellStyle name="40 % - Markeringsfarve4 8 3" xfId="1328" xr:uid="{00000000-0005-0000-0000-000013040000}"/>
    <cellStyle name="40 % - Markeringsfarve4 9" xfId="337" xr:uid="{00000000-0005-0000-0000-000014040000}"/>
    <cellStyle name="40 % - Markeringsfarve4 9 2" xfId="851" xr:uid="{00000000-0005-0000-0000-000015040000}"/>
    <cellStyle name="40 % - Markeringsfarve4 9 2 2" xfId="1878" xr:uid="{00000000-0005-0000-0000-000016040000}"/>
    <cellStyle name="40 % - Markeringsfarve4 9 3" xfId="1365" xr:uid="{00000000-0005-0000-0000-000017040000}"/>
    <cellStyle name="40 % - Markeringsfarve5 10" xfId="359" xr:uid="{00000000-0005-0000-0000-000018040000}"/>
    <cellStyle name="40 % - Markeringsfarve5 10 2" xfId="873" xr:uid="{00000000-0005-0000-0000-000019040000}"/>
    <cellStyle name="40 % - Markeringsfarve5 10 2 2" xfId="1900" xr:uid="{00000000-0005-0000-0000-00001A040000}"/>
    <cellStyle name="40 % - Markeringsfarve5 10 3" xfId="1387" xr:uid="{00000000-0005-0000-0000-00001B040000}"/>
    <cellStyle name="40 % - Markeringsfarve5 11" xfId="392" xr:uid="{00000000-0005-0000-0000-00001C040000}"/>
    <cellStyle name="40 % - Markeringsfarve5 11 2" xfId="906" xr:uid="{00000000-0005-0000-0000-00001D040000}"/>
    <cellStyle name="40 % - Markeringsfarve5 11 2 2" xfId="1933" xr:uid="{00000000-0005-0000-0000-00001E040000}"/>
    <cellStyle name="40 % - Markeringsfarve5 11 3" xfId="1420" xr:uid="{00000000-0005-0000-0000-00001F040000}"/>
    <cellStyle name="40 % - Markeringsfarve5 12" xfId="406" xr:uid="{00000000-0005-0000-0000-000020040000}"/>
    <cellStyle name="40 % - Markeringsfarve5 12 2" xfId="920" xr:uid="{00000000-0005-0000-0000-000021040000}"/>
    <cellStyle name="40 % - Markeringsfarve5 12 2 2" xfId="1947" xr:uid="{00000000-0005-0000-0000-000022040000}"/>
    <cellStyle name="40 % - Markeringsfarve5 12 3" xfId="1434" xr:uid="{00000000-0005-0000-0000-000023040000}"/>
    <cellStyle name="40 % - Markeringsfarve5 13" xfId="427" xr:uid="{00000000-0005-0000-0000-000024040000}"/>
    <cellStyle name="40 % - Markeringsfarve5 13 2" xfId="941" xr:uid="{00000000-0005-0000-0000-000025040000}"/>
    <cellStyle name="40 % - Markeringsfarve5 13 2 2" xfId="1968" xr:uid="{00000000-0005-0000-0000-000026040000}"/>
    <cellStyle name="40 % - Markeringsfarve5 13 3" xfId="1455" xr:uid="{00000000-0005-0000-0000-000027040000}"/>
    <cellStyle name="40 % - Markeringsfarve5 14" xfId="443" xr:uid="{00000000-0005-0000-0000-000028040000}"/>
    <cellStyle name="40 % - Markeringsfarve5 14 2" xfId="957" xr:uid="{00000000-0005-0000-0000-000029040000}"/>
    <cellStyle name="40 % - Markeringsfarve5 14 2 2" xfId="1984" xr:uid="{00000000-0005-0000-0000-00002A040000}"/>
    <cellStyle name="40 % - Markeringsfarve5 14 3" xfId="1471" xr:uid="{00000000-0005-0000-0000-00002B040000}"/>
    <cellStyle name="40 % - Markeringsfarve5 15" xfId="465" xr:uid="{00000000-0005-0000-0000-00002C040000}"/>
    <cellStyle name="40 % - Markeringsfarve5 15 2" xfId="979" xr:uid="{00000000-0005-0000-0000-00002D040000}"/>
    <cellStyle name="40 % - Markeringsfarve5 15 2 2" xfId="2006" xr:uid="{00000000-0005-0000-0000-00002E040000}"/>
    <cellStyle name="40 % - Markeringsfarve5 15 3" xfId="1493" xr:uid="{00000000-0005-0000-0000-00002F040000}"/>
    <cellStyle name="40 % - Markeringsfarve5 16" xfId="495" xr:uid="{00000000-0005-0000-0000-000030040000}"/>
    <cellStyle name="40 % - Markeringsfarve5 16 2" xfId="1009" xr:uid="{00000000-0005-0000-0000-000031040000}"/>
    <cellStyle name="40 % - Markeringsfarve5 16 2 2" xfId="2036" xr:uid="{00000000-0005-0000-0000-000032040000}"/>
    <cellStyle name="40 % - Markeringsfarve5 16 3" xfId="1523" xr:uid="{00000000-0005-0000-0000-000033040000}"/>
    <cellStyle name="40 % - Markeringsfarve5 17" xfId="509" xr:uid="{00000000-0005-0000-0000-000034040000}"/>
    <cellStyle name="40 % - Markeringsfarve5 17 2" xfId="1023" xr:uid="{00000000-0005-0000-0000-000035040000}"/>
    <cellStyle name="40 % - Markeringsfarve5 17 2 2" xfId="2050" xr:uid="{00000000-0005-0000-0000-000036040000}"/>
    <cellStyle name="40 % - Markeringsfarve5 17 3" xfId="1537" xr:uid="{00000000-0005-0000-0000-000037040000}"/>
    <cellStyle name="40 % - Markeringsfarve5 18" xfId="551" xr:uid="{00000000-0005-0000-0000-000038040000}"/>
    <cellStyle name="40 % - Markeringsfarve5 18 2" xfId="1065" xr:uid="{00000000-0005-0000-0000-000039040000}"/>
    <cellStyle name="40 % - Markeringsfarve5 18 2 2" xfId="2092" xr:uid="{00000000-0005-0000-0000-00003A040000}"/>
    <cellStyle name="40 % - Markeringsfarve5 18 3" xfId="1579" xr:uid="{00000000-0005-0000-0000-00003B040000}"/>
    <cellStyle name="40 % - Markeringsfarve5 19" xfId="565" xr:uid="{00000000-0005-0000-0000-00003C040000}"/>
    <cellStyle name="40 % - Markeringsfarve5 19 2" xfId="1079" xr:uid="{00000000-0005-0000-0000-00003D040000}"/>
    <cellStyle name="40 % - Markeringsfarve5 19 2 2" xfId="2106" xr:uid="{00000000-0005-0000-0000-00003E040000}"/>
    <cellStyle name="40 % - Markeringsfarve5 19 3" xfId="1593" xr:uid="{00000000-0005-0000-0000-00003F040000}"/>
    <cellStyle name="40 % - Markeringsfarve5 2" xfId="207" xr:uid="{00000000-0005-0000-0000-000040040000}"/>
    <cellStyle name="40 % - Markeringsfarve5 2 2" xfId="722" xr:uid="{00000000-0005-0000-0000-000041040000}"/>
    <cellStyle name="40 % - Markeringsfarve5 2 2 2" xfId="1749" xr:uid="{00000000-0005-0000-0000-000042040000}"/>
    <cellStyle name="40 % - Markeringsfarve5 2 3" xfId="1236" xr:uid="{00000000-0005-0000-0000-000043040000}"/>
    <cellStyle name="40 % - Markeringsfarve5 3" xfId="227" xr:uid="{00000000-0005-0000-0000-000044040000}"/>
    <cellStyle name="40 % - Markeringsfarve5 3 2" xfId="742" xr:uid="{00000000-0005-0000-0000-000045040000}"/>
    <cellStyle name="40 % - Markeringsfarve5 3 2 2" xfId="1769" xr:uid="{00000000-0005-0000-0000-000046040000}"/>
    <cellStyle name="40 % - Markeringsfarve5 3 3" xfId="1256" xr:uid="{00000000-0005-0000-0000-000047040000}"/>
    <cellStyle name="40 % - Markeringsfarve5 4" xfId="243" xr:uid="{00000000-0005-0000-0000-000048040000}"/>
    <cellStyle name="40 % - Markeringsfarve5 4 2" xfId="758" xr:uid="{00000000-0005-0000-0000-000049040000}"/>
    <cellStyle name="40 % - Markeringsfarve5 4 2 2" xfId="1785" xr:uid="{00000000-0005-0000-0000-00004A040000}"/>
    <cellStyle name="40 % - Markeringsfarve5 4 3" xfId="1272" xr:uid="{00000000-0005-0000-0000-00004B040000}"/>
    <cellStyle name="40 % - Markeringsfarve5 5" xfId="257" xr:uid="{00000000-0005-0000-0000-00004C040000}"/>
    <cellStyle name="40 % - Markeringsfarve5 5 2" xfId="772" xr:uid="{00000000-0005-0000-0000-00004D040000}"/>
    <cellStyle name="40 % - Markeringsfarve5 5 2 2" xfId="1799" xr:uid="{00000000-0005-0000-0000-00004E040000}"/>
    <cellStyle name="40 % - Markeringsfarve5 5 3" xfId="1286" xr:uid="{00000000-0005-0000-0000-00004F040000}"/>
    <cellStyle name="40 % - Markeringsfarve5 6" xfId="272" xr:uid="{00000000-0005-0000-0000-000050040000}"/>
    <cellStyle name="40 % - Markeringsfarve5 6 2" xfId="787" xr:uid="{00000000-0005-0000-0000-000051040000}"/>
    <cellStyle name="40 % - Markeringsfarve5 6 2 2" xfId="1814" xr:uid="{00000000-0005-0000-0000-000052040000}"/>
    <cellStyle name="40 % - Markeringsfarve5 6 3" xfId="1301" xr:uid="{00000000-0005-0000-0000-000053040000}"/>
    <cellStyle name="40 % - Markeringsfarve5 7" xfId="286" xr:uid="{00000000-0005-0000-0000-000054040000}"/>
    <cellStyle name="40 % - Markeringsfarve5 7 2" xfId="801" xr:uid="{00000000-0005-0000-0000-000055040000}"/>
    <cellStyle name="40 % - Markeringsfarve5 7 2 2" xfId="1828" xr:uid="{00000000-0005-0000-0000-000056040000}"/>
    <cellStyle name="40 % - Markeringsfarve5 7 3" xfId="1315" xr:uid="{00000000-0005-0000-0000-000057040000}"/>
    <cellStyle name="40 % - Markeringsfarve5 8" xfId="301" xr:uid="{00000000-0005-0000-0000-000058040000}"/>
    <cellStyle name="40 % - Markeringsfarve5 8 2" xfId="816" xr:uid="{00000000-0005-0000-0000-000059040000}"/>
    <cellStyle name="40 % - Markeringsfarve5 8 2 2" xfId="1843" xr:uid="{00000000-0005-0000-0000-00005A040000}"/>
    <cellStyle name="40 % - Markeringsfarve5 8 3" xfId="1330" xr:uid="{00000000-0005-0000-0000-00005B040000}"/>
    <cellStyle name="40 % - Markeringsfarve5 9" xfId="339" xr:uid="{00000000-0005-0000-0000-00005C040000}"/>
    <cellStyle name="40 % - Markeringsfarve5 9 2" xfId="853" xr:uid="{00000000-0005-0000-0000-00005D040000}"/>
    <cellStyle name="40 % - Markeringsfarve5 9 2 2" xfId="1880" xr:uid="{00000000-0005-0000-0000-00005E040000}"/>
    <cellStyle name="40 % - Markeringsfarve5 9 3" xfId="1367" xr:uid="{00000000-0005-0000-0000-00005F040000}"/>
    <cellStyle name="40 % - Markeringsfarve6 10" xfId="361" xr:uid="{00000000-0005-0000-0000-000060040000}"/>
    <cellStyle name="40 % - Markeringsfarve6 10 2" xfId="875" xr:uid="{00000000-0005-0000-0000-000061040000}"/>
    <cellStyle name="40 % - Markeringsfarve6 10 2 2" xfId="1902" xr:uid="{00000000-0005-0000-0000-000062040000}"/>
    <cellStyle name="40 % - Markeringsfarve6 10 3" xfId="1389" xr:uid="{00000000-0005-0000-0000-000063040000}"/>
    <cellStyle name="40 % - Markeringsfarve6 11" xfId="394" xr:uid="{00000000-0005-0000-0000-000064040000}"/>
    <cellStyle name="40 % - Markeringsfarve6 11 2" xfId="908" xr:uid="{00000000-0005-0000-0000-000065040000}"/>
    <cellStyle name="40 % - Markeringsfarve6 11 2 2" xfId="1935" xr:uid="{00000000-0005-0000-0000-000066040000}"/>
    <cellStyle name="40 % - Markeringsfarve6 11 3" xfId="1422" xr:uid="{00000000-0005-0000-0000-000067040000}"/>
    <cellStyle name="40 % - Markeringsfarve6 12" xfId="408" xr:uid="{00000000-0005-0000-0000-000068040000}"/>
    <cellStyle name="40 % - Markeringsfarve6 12 2" xfId="922" xr:uid="{00000000-0005-0000-0000-000069040000}"/>
    <cellStyle name="40 % - Markeringsfarve6 12 2 2" xfId="1949" xr:uid="{00000000-0005-0000-0000-00006A040000}"/>
    <cellStyle name="40 % - Markeringsfarve6 12 3" xfId="1436" xr:uid="{00000000-0005-0000-0000-00006B040000}"/>
    <cellStyle name="40 % - Markeringsfarve6 13" xfId="429" xr:uid="{00000000-0005-0000-0000-00006C040000}"/>
    <cellStyle name="40 % - Markeringsfarve6 13 2" xfId="943" xr:uid="{00000000-0005-0000-0000-00006D040000}"/>
    <cellStyle name="40 % - Markeringsfarve6 13 2 2" xfId="1970" xr:uid="{00000000-0005-0000-0000-00006E040000}"/>
    <cellStyle name="40 % - Markeringsfarve6 13 3" xfId="1457" xr:uid="{00000000-0005-0000-0000-00006F040000}"/>
    <cellStyle name="40 % - Markeringsfarve6 14" xfId="445" xr:uid="{00000000-0005-0000-0000-000070040000}"/>
    <cellStyle name="40 % - Markeringsfarve6 14 2" xfId="959" xr:uid="{00000000-0005-0000-0000-000071040000}"/>
    <cellStyle name="40 % - Markeringsfarve6 14 2 2" xfId="1986" xr:uid="{00000000-0005-0000-0000-000072040000}"/>
    <cellStyle name="40 % - Markeringsfarve6 14 3" xfId="1473" xr:uid="{00000000-0005-0000-0000-000073040000}"/>
    <cellStyle name="40 % - Markeringsfarve6 15" xfId="467" xr:uid="{00000000-0005-0000-0000-000074040000}"/>
    <cellStyle name="40 % - Markeringsfarve6 15 2" xfId="981" xr:uid="{00000000-0005-0000-0000-000075040000}"/>
    <cellStyle name="40 % - Markeringsfarve6 15 2 2" xfId="2008" xr:uid="{00000000-0005-0000-0000-000076040000}"/>
    <cellStyle name="40 % - Markeringsfarve6 15 3" xfId="1495" xr:uid="{00000000-0005-0000-0000-000077040000}"/>
    <cellStyle name="40 % - Markeringsfarve6 16" xfId="497" xr:uid="{00000000-0005-0000-0000-000078040000}"/>
    <cellStyle name="40 % - Markeringsfarve6 16 2" xfId="1011" xr:uid="{00000000-0005-0000-0000-000079040000}"/>
    <cellStyle name="40 % - Markeringsfarve6 16 2 2" xfId="2038" xr:uid="{00000000-0005-0000-0000-00007A040000}"/>
    <cellStyle name="40 % - Markeringsfarve6 16 3" xfId="1525" xr:uid="{00000000-0005-0000-0000-00007B040000}"/>
    <cellStyle name="40 % - Markeringsfarve6 17" xfId="511" xr:uid="{00000000-0005-0000-0000-00007C040000}"/>
    <cellStyle name="40 % - Markeringsfarve6 17 2" xfId="1025" xr:uid="{00000000-0005-0000-0000-00007D040000}"/>
    <cellStyle name="40 % - Markeringsfarve6 17 2 2" xfId="2052" xr:uid="{00000000-0005-0000-0000-00007E040000}"/>
    <cellStyle name="40 % - Markeringsfarve6 17 3" xfId="1539" xr:uid="{00000000-0005-0000-0000-00007F040000}"/>
    <cellStyle name="40 % - Markeringsfarve6 18" xfId="553" xr:uid="{00000000-0005-0000-0000-000080040000}"/>
    <cellStyle name="40 % - Markeringsfarve6 18 2" xfId="1067" xr:uid="{00000000-0005-0000-0000-000081040000}"/>
    <cellStyle name="40 % - Markeringsfarve6 18 2 2" xfId="2094" xr:uid="{00000000-0005-0000-0000-000082040000}"/>
    <cellStyle name="40 % - Markeringsfarve6 18 3" xfId="1581" xr:uid="{00000000-0005-0000-0000-000083040000}"/>
    <cellStyle name="40 % - Markeringsfarve6 19" xfId="567" xr:uid="{00000000-0005-0000-0000-000084040000}"/>
    <cellStyle name="40 % - Markeringsfarve6 19 2" xfId="1081" xr:uid="{00000000-0005-0000-0000-000085040000}"/>
    <cellStyle name="40 % - Markeringsfarve6 19 2 2" xfId="2108" xr:uid="{00000000-0005-0000-0000-000086040000}"/>
    <cellStyle name="40 % - Markeringsfarve6 19 3" xfId="1595" xr:uid="{00000000-0005-0000-0000-000087040000}"/>
    <cellStyle name="40 % - Markeringsfarve6 2" xfId="209" xr:uid="{00000000-0005-0000-0000-000088040000}"/>
    <cellStyle name="40 % - Markeringsfarve6 2 2" xfId="724" xr:uid="{00000000-0005-0000-0000-000089040000}"/>
    <cellStyle name="40 % - Markeringsfarve6 2 2 2" xfId="1751" xr:uid="{00000000-0005-0000-0000-00008A040000}"/>
    <cellStyle name="40 % - Markeringsfarve6 2 3" xfId="1238" xr:uid="{00000000-0005-0000-0000-00008B040000}"/>
    <cellStyle name="40 % - Markeringsfarve6 3" xfId="229" xr:uid="{00000000-0005-0000-0000-00008C040000}"/>
    <cellStyle name="40 % - Markeringsfarve6 3 2" xfId="744" xr:uid="{00000000-0005-0000-0000-00008D040000}"/>
    <cellStyle name="40 % - Markeringsfarve6 3 2 2" xfId="1771" xr:uid="{00000000-0005-0000-0000-00008E040000}"/>
    <cellStyle name="40 % - Markeringsfarve6 3 3" xfId="1258" xr:uid="{00000000-0005-0000-0000-00008F040000}"/>
    <cellStyle name="40 % - Markeringsfarve6 4" xfId="245" xr:uid="{00000000-0005-0000-0000-000090040000}"/>
    <cellStyle name="40 % - Markeringsfarve6 4 2" xfId="760" xr:uid="{00000000-0005-0000-0000-000091040000}"/>
    <cellStyle name="40 % - Markeringsfarve6 4 2 2" xfId="1787" xr:uid="{00000000-0005-0000-0000-000092040000}"/>
    <cellStyle name="40 % - Markeringsfarve6 4 3" xfId="1274" xr:uid="{00000000-0005-0000-0000-000093040000}"/>
    <cellStyle name="40 % - Markeringsfarve6 5" xfId="259" xr:uid="{00000000-0005-0000-0000-000094040000}"/>
    <cellStyle name="40 % - Markeringsfarve6 5 2" xfId="774" xr:uid="{00000000-0005-0000-0000-000095040000}"/>
    <cellStyle name="40 % - Markeringsfarve6 5 2 2" xfId="1801" xr:uid="{00000000-0005-0000-0000-000096040000}"/>
    <cellStyle name="40 % - Markeringsfarve6 5 3" xfId="1288" xr:uid="{00000000-0005-0000-0000-000097040000}"/>
    <cellStyle name="40 % - Markeringsfarve6 6" xfId="274" xr:uid="{00000000-0005-0000-0000-000098040000}"/>
    <cellStyle name="40 % - Markeringsfarve6 6 2" xfId="789" xr:uid="{00000000-0005-0000-0000-000099040000}"/>
    <cellStyle name="40 % - Markeringsfarve6 6 2 2" xfId="1816" xr:uid="{00000000-0005-0000-0000-00009A040000}"/>
    <cellStyle name="40 % - Markeringsfarve6 6 3" xfId="1303" xr:uid="{00000000-0005-0000-0000-00009B040000}"/>
    <cellStyle name="40 % - Markeringsfarve6 7" xfId="288" xr:uid="{00000000-0005-0000-0000-00009C040000}"/>
    <cellStyle name="40 % - Markeringsfarve6 7 2" xfId="803" xr:uid="{00000000-0005-0000-0000-00009D040000}"/>
    <cellStyle name="40 % - Markeringsfarve6 7 2 2" xfId="1830" xr:uid="{00000000-0005-0000-0000-00009E040000}"/>
    <cellStyle name="40 % - Markeringsfarve6 7 3" xfId="1317" xr:uid="{00000000-0005-0000-0000-00009F040000}"/>
    <cellStyle name="40 % - Markeringsfarve6 8" xfId="303" xr:uid="{00000000-0005-0000-0000-0000A0040000}"/>
    <cellStyle name="40 % - Markeringsfarve6 8 2" xfId="818" xr:uid="{00000000-0005-0000-0000-0000A1040000}"/>
    <cellStyle name="40 % - Markeringsfarve6 8 2 2" xfId="1845" xr:uid="{00000000-0005-0000-0000-0000A2040000}"/>
    <cellStyle name="40 % - Markeringsfarve6 8 3" xfId="1332" xr:uid="{00000000-0005-0000-0000-0000A3040000}"/>
    <cellStyle name="40 % - Markeringsfarve6 9" xfId="341" xr:uid="{00000000-0005-0000-0000-0000A4040000}"/>
    <cellStyle name="40 % - Markeringsfarve6 9 2" xfId="855" xr:uid="{00000000-0005-0000-0000-0000A5040000}"/>
    <cellStyle name="40 % - Markeringsfarve6 9 2 2" xfId="1882" xr:uid="{00000000-0005-0000-0000-0000A6040000}"/>
    <cellStyle name="40 % - Markeringsfarve6 9 3" xfId="1369" xr:uid="{00000000-0005-0000-0000-0000A7040000}"/>
    <cellStyle name="60 % - Farve1" xfId="165" builtinId="32" customBuiltin="1"/>
    <cellStyle name="60 % - Farve1 2" xfId="2130" xr:uid="{00000000-0005-0000-0000-0000A9040000}"/>
    <cellStyle name="60 % - Farve2" xfId="169" builtinId="36" customBuiltin="1"/>
    <cellStyle name="60 % - Farve2 2" xfId="2133" xr:uid="{00000000-0005-0000-0000-0000AB040000}"/>
    <cellStyle name="60 % - Farve3" xfId="173" builtinId="40" customBuiltin="1"/>
    <cellStyle name="60 % - Farve3 2" xfId="2136" xr:uid="{00000000-0005-0000-0000-0000AD040000}"/>
    <cellStyle name="60 % - Farve4" xfId="177" builtinId="44" customBuiltin="1"/>
    <cellStyle name="60 % - Farve4 2" xfId="2139" xr:uid="{00000000-0005-0000-0000-0000AF040000}"/>
    <cellStyle name="60 % - Farve5" xfId="181" builtinId="48" customBuiltin="1"/>
    <cellStyle name="60 % - Farve5 2" xfId="2142" xr:uid="{00000000-0005-0000-0000-0000B1040000}"/>
    <cellStyle name="60 % - Farve6" xfId="185" builtinId="52" customBuiltin="1"/>
    <cellStyle name="60 % - Farve6 2" xfId="2145" xr:uid="{00000000-0005-0000-0000-0000B3040000}"/>
    <cellStyle name="Advarselstekst" xfId="160" builtinId="11" customBuiltin="1"/>
    <cellStyle name="Beløb" xfId="1" xr:uid="{00000000-0005-0000-0000-0000B5040000}"/>
    <cellStyle name="Beløb 2" xfId="35" xr:uid="{00000000-0005-0000-0000-0000B6040000}"/>
    <cellStyle name="Beløb 3" xfId="53" xr:uid="{00000000-0005-0000-0000-0000B7040000}"/>
    <cellStyle name="Beløb0" xfId="2" xr:uid="{00000000-0005-0000-0000-0000B8040000}"/>
    <cellStyle name="Beløb0 2" xfId="36" xr:uid="{00000000-0005-0000-0000-0000B9040000}"/>
    <cellStyle name="Beløb0 3" xfId="37" xr:uid="{00000000-0005-0000-0000-0000BA040000}"/>
    <cellStyle name="Bemærk! 10" xfId="310" xr:uid="{00000000-0005-0000-0000-0000BB040000}"/>
    <cellStyle name="Bemærk! 10 2" xfId="824" xr:uid="{00000000-0005-0000-0000-0000BC040000}"/>
    <cellStyle name="Bemærk! 10 2 2" xfId="1851" xr:uid="{00000000-0005-0000-0000-0000BD040000}"/>
    <cellStyle name="Bemærk! 10 3" xfId="1338" xr:uid="{00000000-0005-0000-0000-0000BE040000}"/>
    <cellStyle name="Bemærk! 11" xfId="329" xr:uid="{00000000-0005-0000-0000-0000BF040000}"/>
    <cellStyle name="Bemærk! 11 2" xfId="843" xr:uid="{00000000-0005-0000-0000-0000C0040000}"/>
    <cellStyle name="Bemærk! 11 2 2" xfId="1870" xr:uid="{00000000-0005-0000-0000-0000C1040000}"/>
    <cellStyle name="Bemærk! 11 3" xfId="1357" xr:uid="{00000000-0005-0000-0000-0000C2040000}"/>
    <cellStyle name="Bemærk! 12" xfId="348" xr:uid="{00000000-0005-0000-0000-0000C3040000}"/>
    <cellStyle name="Bemærk! 12 2" xfId="862" xr:uid="{00000000-0005-0000-0000-0000C4040000}"/>
    <cellStyle name="Bemærk! 12 2 2" xfId="1889" xr:uid="{00000000-0005-0000-0000-0000C5040000}"/>
    <cellStyle name="Bemærk! 12 3" xfId="1376" xr:uid="{00000000-0005-0000-0000-0000C6040000}"/>
    <cellStyle name="Bemærk! 13" xfId="363" xr:uid="{00000000-0005-0000-0000-0000C7040000}"/>
    <cellStyle name="Bemærk! 13 2" xfId="877" xr:uid="{00000000-0005-0000-0000-0000C8040000}"/>
    <cellStyle name="Bemærk! 13 2 2" xfId="1904" xr:uid="{00000000-0005-0000-0000-0000C9040000}"/>
    <cellStyle name="Bemærk! 13 3" xfId="1391" xr:uid="{00000000-0005-0000-0000-0000CA040000}"/>
    <cellStyle name="Bemærk! 14" xfId="381" xr:uid="{00000000-0005-0000-0000-0000CB040000}"/>
    <cellStyle name="Bemærk! 14 2" xfId="895" xr:uid="{00000000-0005-0000-0000-0000CC040000}"/>
    <cellStyle name="Bemærk! 14 2 2" xfId="1922" xr:uid="{00000000-0005-0000-0000-0000CD040000}"/>
    <cellStyle name="Bemærk! 14 3" xfId="1409" xr:uid="{00000000-0005-0000-0000-0000CE040000}"/>
    <cellStyle name="Bemærk! 15" xfId="396" xr:uid="{00000000-0005-0000-0000-0000CF040000}"/>
    <cellStyle name="Bemærk! 15 2" xfId="910" xr:uid="{00000000-0005-0000-0000-0000D0040000}"/>
    <cellStyle name="Bemærk! 15 2 2" xfId="1937" xr:uid="{00000000-0005-0000-0000-0000D1040000}"/>
    <cellStyle name="Bemærk! 15 3" xfId="1424" xr:uid="{00000000-0005-0000-0000-0000D2040000}"/>
    <cellStyle name="Bemærk! 16" xfId="416" xr:uid="{00000000-0005-0000-0000-0000D3040000}"/>
    <cellStyle name="Bemærk! 16 2" xfId="930" xr:uid="{00000000-0005-0000-0000-0000D4040000}"/>
    <cellStyle name="Bemærk! 16 2 2" xfId="1957" xr:uid="{00000000-0005-0000-0000-0000D5040000}"/>
    <cellStyle name="Bemærk! 16 3" xfId="1444" xr:uid="{00000000-0005-0000-0000-0000D6040000}"/>
    <cellStyle name="Bemærk! 17" xfId="433" xr:uid="{00000000-0005-0000-0000-0000D7040000}"/>
    <cellStyle name="Bemærk! 17 2" xfId="947" xr:uid="{00000000-0005-0000-0000-0000D8040000}"/>
    <cellStyle name="Bemærk! 17 2 2" xfId="1974" xr:uid="{00000000-0005-0000-0000-0000D9040000}"/>
    <cellStyle name="Bemærk! 17 3" xfId="1461" xr:uid="{00000000-0005-0000-0000-0000DA040000}"/>
    <cellStyle name="Bemærk! 18" xfId="454" xr:uid="{00000000-0005-0000-0000-0000DB040000}"/>
    <cellStyle name="Bemærk! 18 2" xfId="968" xr:uid="{00000000-0005-0000-0000-0000DC040000}"/>
    <cellStyle name="Bemærk! 18 2 2" xfId="1995" xr:uid="{00000000-0005-0000-0000-0000DD040000}"/>
    <cellStyle name="Bemærk! 18 3" xfId="1482" xr:uid="{00000000-0005-0000-0000-0000DE040000}"/>
    <cellStyle name="Bemærk! 19" xfId="471" xr:uid="{00000000-0005-0000-0000-0000DF040000}"/>
    <cellStyle name="Bemærk! 19 2" xfId="985" xr:uid="{00000000-0005-0000-0000-0000E0040000}"/>
    <cellStyle name="Bemærk! 19 2 2" xfId="2012" xr:uid="{00000000-0005-0000-0000-0000E1040000}"/>
    <cellStyle name="Bemærk! 19 3" xfId="1499" xr:uid="{00000000-0005-0000-0000-0000E2040000}"/>
    <cellStyle name="Bemærk! 2" xfId="190" xr:uid="{00000000-0005-0000-0000-0000E3040000}"/>
    <cellStyle name="Bemærk! 2 2" xfId="707" xr:uid="{00000000-0005-0000-0000-0000E4040000}"/>
    <cellStyle name="Bemærk! 2 2 2" xfId="1735" xr:uid="{00000000-0005-0000-0000-0000E5040000}"/>
    <cellStyle name="Bemærk! 2 3" xfId="1222" xr:uid="{00000000-0005-0000-0000-0000E6040000}"/>
    <cellStyle name="Bemærk! 20" xfId="485" xr:uid="{00000000-0005-0000-0000-0000E7040000}"/>
    <cellStyle name="Bemærk! 20 2" xfId="999" xr:uid="{00000000-0005-0000-0000-0000E8040000}"/>
    <cellStyle name="Bemærk! 20 2 2" xfId="2026" xr:uid="{00000000-0005-0000-0000-0000E9040000}"/>
    <cellStyle name="Bemærk! 20 3" xfId="1513" xr:uid="{00000000-0005-0000-0000-0000EA040000}"/>
    <cellStyle name="Bemærk! 21" xfId="499" xr:uid="{00000000-0005-0000-0000-0000EB040000}"/>
    <cellStyle name="Bemærk! 21 2" xfId="1013" xr:uid="{00000000-0005-0000-0000-0000EC040000}"/>
    <cellStyle name="Bemærk! 21 2 2" xfId="2040" xr:uid="{00000000-0005-0000-0000-0000ED040000}"/>
    <cellStyle name="Bemærk! 21 3" xfId="1527" xr:uid="{00000000-0005-0000-0000-0000EE040000}"/>
    <cellStyle name="Bemærk! 22" xfId="513" xr:uid="{00000000-0005-0000-0000-0000EF040000}"/>
    <cellStyle name="Bemærk! 22 2" xfId="1027" xr:uid="{00000000-0005-0000-0000-0000F0040000}"/>
    <cellStyle name="Bemærk! 22 2 2" xfId="2054" xr:uid="{00000000-0005-0000-0000-0000F1040000}"/>
    <cellStyle name="Bemærk! 22 3" xfId="1541" xr:uid="{00000000-0005-0000-0000-0000F2040000}"/>
    <cellStyle name="Bemærk! 23" xfId="527" xr:uid="{00000000-0005-0000-0000-0000F3040000}"/>
    <cellStyle name="Bemærk! 23 2" xfId="1041" xr:uid="{00000000-0005-0000-0000-0000F4040000}"/>
    <cellStyle name="Bemærk! 23 2 2" xfId="2068" xr:uid="{00000000-0005-0000-0000-0000F5040000}"/>
    <cellStyle name="Bemærk! 23 3" xfId="1555" xr:uid="{00000000-0005-0000-0000-0000F6040000}"/>
    <cellStyle name="Bemærk! 24" xfId="541" xr:uid="{00000000-0005-0000-0000-0000F7040000}"/>
    <cellStyle name="Bemærk! 24 2" xfId="1055" xr:uid="{00000000-0005-0000-0000-0000F8040000}"/>
    <cellStyle name="Bemærk! 24 2 2" xfId="2082" xr:uid="{00000000-0005-0000-0000-0000F9040000}"/>
    <cellStyle name="Bemærk! 24 3" xfId="1569" xr:uid="{00000000-0005-0000-0000-0000FA040000}"/>
    <cellStyle name="Bemærk! 25" xfId="555" xr:uid="{00000000-0005-0000-0000-0000FB040000}"/>
    <cellStyle name="Bemærk! 25 2" xfId="1069" xr:uid="{00000000-0005-0000-0000-0000FC040000}"/>
    <cellStyle name="Bemærk! 25 2 2" xfId="2096" xr:uid="{00000000-0005-0000-0000-0000FD040000}"/>
    <cellStyle name="Bemærk! 25 3" xfId="1583" xr:uid="{00000000-0005-0000-0000-0000FE040000}"/>
    <cellStyle name="Bemærk! 26" xfId="569" xr:uid="{00000000-0005-0000-0000-0000FF040000}"/>
    <cellStyle name="Bemærk! 26 2" xfId="1083" xr:uid="{00000000-0005-0000-0000-000000050000}"/>
    <cellStyle name="Bemærk! 26 2 2" xfId="2110" xr:uid="{00000000-0005-0000-0000-000001050000}"/>
    <cellStyle name="Bemærk! 26 3" xfId="1597" xr:uid="{00000000-0005-0000-0000-000002050000}"/>
    <cellStyle name="Bemærk! 27" xfId="2127" xr:uid="{00000000-0005-0000-0000-000003050000}"/>
    <cellStyle name="Bemærk! 3" xfId="197" xr:uid="{00000000-0005-0000-0000-000004050000}"/>
    <cellStyle name="Bemærk! 3 2" xfId="712" xr:uid="{00000000-0005-0000-0000-000005050000}"/>
    <cellStyle name="Bemærk! 3 2 2" xfId="1739" xr:uid="{00000000-0005-0000-0000-000006050000}"/>
    <cellStyle name="Bemærk! 3 3" xfId="1226" xr:uid="{00000000-0005-0000-0000-000007050000}"/>
    <cellStyle name="Bemærk! 4" xfId="216" xr:uid="{00000000-0005-0000-0000-000008050000}"/>
    <cellStyle name="Bemærk! 4 2" xfId="731" xr:uid="{00000000-0005-0000-0000-000009050000}"/>
    <cellStyle name="Bemærk! 4 2 2" xfId="1758" xr:uid="{00000000-0005-0000-0000-00000A050000}"/>
    <cellStyle name="Bemærk! 4 3" xfId="1245" xr:uid="{00000000-0005-0000-0000-00000B050000}"/>
    <cellStyle name="Bemærk! 5" xfId="233" xr:uid="{00000000-0005-0000-0000-00000C050000}"/>
    <cellStyle name="Bemærk! 5 2" xfId="748" xr:uid="{00000000-0005-0000-0000-00000D050000}"/>
    <cellStyle name="Bemærk! 5 2 2" xfId="1775" xr:uid="{00000000-0005-0000-0000-00000E050000}"/>
    <cellStyle name="Bemærk! 5 3" xfId="1262" xr:uid="{00000000-0005-0000-0000-00000F050000}"/>
    <cellStyle name="Bemærk! 6" xfId="247" xr:uid="{00000000-0005-0000-0000-000010050000}"/>
    <cellStyle name="Bemærk! 6 2" xfId="762" xr:uid="{00000000-0005-0000-0000-000011050000}"/>
    <cellStyle name="Bemærk! 6 2 2" xfId="1789" xr:uid="{00000000-0005-0000-0000-000012050000}"/>
    <cellStyle name="Bemærk! 6 3" xfId="1276" xr:uid="{00000000-0005-0000-0000-000013050000}"/>
    <cellStyle name="Bemærk! 7" xfId="262" xr:uid="{00000000-0005-0000-0000-000014050000}"/>
    <cellStyle name="Bemærk! 7 2" xfId="777" xr:uid="{00000000-0005-0000-0000-000015050000}"/>
    <cellStyle name="Bemærk! 7 2 2" xfId="1804" xr:uid="{00000000-0005-0000-0000-000016050000}"/>
    <cellStyle name="Bemærk! 7 3" xfId="1291" xr:uid="{00000000-0005-0000-0000-000017050000}"/>
    <cellStyle name="Bemærk! 8" xfId="276" xr:uid="{00000000-0005-0000-0000-000018050000}"/>
    <cellStyle name="Bemærk! 8 2" xfId="791" xr:uid="{00000000-0005-0000-0000-000019050000}"/>
    <cellStyle name="Bemærk! 8 2 2" xfId="1818" xr:uid="{00000000-0005-0000-0000-00001A050000}"/>
    <cellStyle name="Bemærk! 8 3" xfId="1305" xr:uid="{00000000-0005-0000-0000-00001B050000}"/>
    <cellStyle name="Bemærk! 9" xfId="291" xr:uid="{00000000-0005-0000-0000-00001C050000}"/>
    <cellStyle name="Bemærk! 9 2" xfId="806" xr:uid="{00000000-0005-0000-0000-00001D050000}"/>
    <cellStyle name="Bemærk! 9 2 2" xfId="1833" xr:uid="{00000000-0005-0000-0000-00001E050000}"/>
    <cellStyle name="Bemærk! 9 3" xfId="1320" xr:uid="{00000000-0005-0000-0000-00001F050000}"/>
    <cellStyle name="Beregning" xfId="157" builtinId="22" customBuiltin="1"/>
    <cellStyle name="Dato" xfId="3" xr:uid="{00000000-0005-0000-0000-000021050000}"/>
    <cellStyle name="Dato 2" xfId="1096" xr:uid="{00000000-0005-0000-0000-000022050000}"/>
    <cellStyle name="Farve1" xfId="162" builtinId="29" customBuiltin="1"/>
    <cellStyle name="Farve2" xfId="166" builtinId="33" customBuiltin="1"/>
    <cellStyle name="Farve3" xfId="170" builtinId="37" customBuiltin="1"/>
    <cellStyle name="Farve4" xfId="174" builtinId="41" customBuiltin="1"/>
    <cellStyle name="Farve5" xfId="178" builtinId="45" customBuiltin="1"/>
    <cellStyle name="Farve6" xfId="182" builtinId="49" customBuiltin="1"/>
    <cellStyle name="Fast" xfId="4" xr:uid="{00000000-0005-0000-0000-000029050000}"/>
    <cellStyle name="Fast 2" xfId="38" xr:uid="{00000000-0005-0000-0000-00002A050000}"/>
    <cellStyle name="Fast 3" xfId="62" xr:uid="{00000000-0005-0000-0000-00002B050000}"/>
    <cellStyle name="Forklarende tekst" xfId="161" builtinId="53" customBuiltin="1"/>
    <cellStyle name="God" xfId="152" builtinId="26" customBuiltin="1"/>
    <cellStyle name="Input" xfId="155" builtinId="20" customBuiltin="1"/>
    <cellStyle name="Komma" xfId="193" builtinId="3"/>
    <cellStyle name="Komma 2" xfId="146" xr:uid="{00000000-0005-0000-0000-000030050000}"/>
    <cellStyle name="Komma 2 2" xfId="693" xr:uid="{00000000-0005-0000-0000-000031050000}"/>
    <cellStyle name="Komma 2 2 2" xfId="1721" xr:uid="{00000000-0005-0000-0000-000032050000}"/>
    <cellStyle name="Komma 2 3" xfId="1208" xr:uid="{00000000-0005-0000-0000-000033050000}"/>
    <cellStyle name="Komma 3" xfId="187" xr:uid="{00000000-0005-0000-0000-000034050000}"/>
    <cellStyle name="Komma 3 2" xfId="706" xr:uid="{00000000-0005-0000-0000-000035050000}"/>
    <cellStyle name="Komma 3 2 2" xfId="1734" xr:uid="{00000000-0005-0000-0000-000036050000}"/>
    <cellStyle name="Komma 3 3" xfId="1221" xr:uid="{00000000-0005-0000-0000-000037050000}"/>
    <cellStyle name="Komma 4" xfId="708" xr:uid="{00000000-0005-0000-0000-000038050000}"/>
    <cellStyle name="Komma 4 2" xfId="1736" xr:uid="{00000000-0005-0000-0000-000039050000}"/>
    <cellStyle name="Komma 5" xfId="1223" xr:uid="{00000000-0005-0000-0000-00003A050000}"/>
    <cellStyle name="Kontrollér celle" xfId="159" builtinId="23" customBuiltin="1"/>
    <cellStyle name="Neutral" xfId="154" builtinId="28" customBuiltin="1"/>
    <cellStyle name="Neutral 2" xfId="2126" xr:uid="{00000000-0005-0000-0000-00003D050000}"/>
    <cellStyle name="Normal" xfId="0" builtinId="0"/>
    <cellStyle name="Normal 10" xfId="19" xr:uid="{00000000-0005-0000-0000-00003F050000}"/>
    <cellStyle name="Normal 10 2" xfId="49" xr:uid="{00000000-0005-0000-0000-000040050000}"/>
    <cellStyle name="Normal 10 2 2" xfId="114" xr:uid="{00000000-0005-0000-0000-000041050000}"/>
    <cellStyle name="Normal 10 2 2 2" xfId="661" xr:uid="{00000000-0005-0000-0000-000042050000}"/>
    <cellStyle name="Normal 10 2 2 2 2" xfId="1689" xr:uid="{00000000-0005-0000-0000-000043050000}"/>
    <cellStyle name="Normal 10 2 2 3" xfId="1176" xr:uid="{00000000-0005-0000-0000-000044050000}"/>
    <cellStyle name="Normal 10 2 3" xfId="605" xr:uid="{00000000-0005-0000-0000-000045050000}"/>
    <cellStyle name="Normal 10 2 3 2" xfId="1633" xr:uid="{00000000-0005-0000-0000-000046050000}"/>
    <cellStyle name="Normal 10 2 4" xfId="1120" xr:uid="{00000000-0005-0000-0000-000047050000}"/>
    <cellStyle name="Normal 10 3" xfId="72" xr:uid="{00000000-0005-0000-0000-000048050000}"/>
    <cellStyle name="Normal 10 3 2" xfId="131" xr:uid="{00000000-0005-0000-0000-000049050000}"/>
    <cellStyle name="Normal 10 3 2 2" xfId="678" xr:uid="{00000000-0005-0000-0000-00004A050000}"/>
    <cellStyle name="Normal 10 3 2 2 2" xfId="1706" xr:uid="{00000000-0005-0000-0000-00004B050000}"/>
    <cellStyle name="Normal 10 3 2 3" xfId="1193" xr:uid="{00000000-0005-0000-0000-00004C050000}"/>
    <cellStyle name="Normal 10 3 3" xfId="622" xr:uid="{00000000-0005-0000-0000-00004D050000}"/>
    <cellStyle name="Normal 10 3 3 2" xfId="1650" xr:uid="{00000000-0005-0000-0000-00004E050000}"/>
    <cellStyle name="Normal 10 3 4" xfId="1137" xr:uid="{00000000-0005-0000-0000-00004F050000}"/>
    <cellStyle name="Normal 10 4" xfId="98" xr:uid="{00000000-0005-0000-0000-000050050000}"/>
    <cellStyle name="Normal 10 4 2" xfId="645" xr:uid="{00000000-0005-0000-0000-000051050000}"/>
    <cellStyle name="Normal 10 4 2 2" xfId="1673" xr:uid="{00000000-0005-0000-0000-000052050000}"/>
    <cellStyle name="Normal 10 4 3" xfId="1160" xr:uid="{00000000-0005-0000-0000-000053050000}"/>
    <cellStyle name="Normal 10 5" xfId="589" xr:uid="{00000000-0005-0000-0000-000054050000}"/>
    <cellStyle name="Normal 10 5 2" xfId="1617" xr:uid="{00000000-0005-0000-0000-000055050000}"/>
    <cellStyle name="Normal 10 6" xfId="1104" xr:uid="{00000000-0005-0000-0000-000056050000}"/>
    <cellStyle name="Normal 100" xfId="453" xr:uid="{00000000-0005-0000-0000-000057050000}"/>
    <cellStyle name="Normal 100 2" xfId="967" xr:uid="{00000000-0005-0000-0000-000058050000}"/>
    <cellStyle name="Normal 100 2 2" xfId="1994" xr:uid="{00000000-0005-0000-0000-000059050000}"/>
    <cellStyle name="Normal 100 3" xfId="1481" xr:uid="{00000000-0005-0000-0000-00005A050000}"/>
    <cellStyle name="Normal 101" xfId="468" xr:uid="{00000000-0005-0000-0000-00005B050000}"/>
    <cellStyle name="Normal 101 2" xfId="982" xr:uid="{00000000-0005-0000-0000-00005C050000}"/>
    <cellStyle name="Normal 101 2 2" xfId="2009" xr:uid="{00000000-0005-0000-0000-00005D050000}"/>
    <cellStyle name="Normal 101 3" xfId="1496" xr:uid="{00000000-0005-0000-0000-00005E050000}"/>
    <cellStyle name="Normal 102" xfId="469" xr:uid="{00000000-0005-0000-0000-00005F050000}"/>
    <cellStyle name="Normal 102 2" xfId="983" xr:uid="{00000000-0005-0000-0000-000060050000}"/>
    <cellStyle name="Normal 102 2 2" xfId="2010" xr:uid="{00000000-0005-0000-0000-000061050000}"/>
    <cellStyle name="Normal 102 3" xfId="1497" xr:uid="{00000000-0005-0000-0000-000062050000}"/>
    <cellStyle name="Normal 103" xfId="470" xr:uid="{00000000-0005-0000-0000-000063050000}"/>
    <cellStyle name="Normal 103 2" xfId="984" xr:uid="{00000000-0005-0000-0000-000064050000}"/>
    <cellStyle name="Normal 103 2 2" xfId="2011" xr:uid="{00000000-0005-0000-0000-000065050000}"/>
    <cellStyle name="Normal 103 3" xfId="1498" xr:uid="{00000000-0005-0000-0000-000066050000}"/>
    <cellStyle name="Normal 104" xfId="484" xr:uid="{00000000-0005-0000-0000-000067050000}"/>
    <cellStyle name="Normal 104 2" xfId="998" xr:uid="{00000000-0005-0000-0000-000068050000}"/>
    <cellStyle name="Normal 104 2 2" xfId="2025" xr:uid="{00000000-0005-0000-0000-000069050000}"/>
    <cellStyle name="Normal 104 3" xfId="1512" xr:uid="{00000000-0005-0000-0000-00006A050000}"/>
    <cellStyle name="Normal 105" xfId="498" xr:uid="{00000000-0005-0000-0000-00006B050000}"/>
    <cellStyle name="Normal 105 2" xfId="1012" xr:uid="{00000000-0005-0000-0000-00006C050000}"/>
    <cellStyle name="Normal 105 2 2" xfId="2039" xr:uid="{00000000-0005-0000-0000-00006D050000}"/>
    <cellStyle name="Normal 105 3" xfId="1526" xr:uid="{00000000-0005-0000-0000-00006E050000}"/>
    <cellStyle name="Normal 106" xfId="512" xr:uid="{00000000-0005-0000-0000-00006F050000}"/>
    <cellStyle name="Normal 106 2" xfId="1026" xr:uid="{00000000-0005-0000-0000-000070050000}"/>
    <cellStyle name="Normal 106 2 2" xfId="2053" xr:uid="{00000000-0005-0000-0000-000071050000}"/>
    <cellStyle name="Normal 106 3" xfId="1540" xr:uid="{00000000-0005-0000-0000-000072050000}"/>
    <cellStyle name="Normal 107" xfId="526" xr:uid="{00000000-0005-0000-0000-000073050000}"/>
    <cellStyle name="Normal 107 2" xfId="1040" xr:uid="{00000000-0005-0000-0000-000074050000}"/>
    <cellStyle name="Normal 107 2 2" xfId="2067" xr:uid="{00000000-0005-0000-0000-000075050000}"/>
    <cellStyle name="Normal 107 3" xfId="1554" xr:uid="{00000000-0005-0000-0000-000076050000}"/>
    <cellStyle name="Normal 108" xfId="540" xr:uid="{00000000-0005-0000-0000-000077050000}"/>
    <cellStyle name="Normal 108 2" xfId="1054" xr:uid="{00000000-0005-0000-0000-000078050000}"/>
    <cellStyle name="Normal 108 2 2" xfId="2081" xr:uid="{00000000-0005-0000-0000-000079050000}"/>
    <cellStyle name="Normal 108 3" xfId="1568" xr:uid="{00000000-0005-0000-0000-00007A050000}"/>
    <cellStyle name="Normal 109" xfId="554" xr:uid="{00000000-0005-0000-0000-00007B050000}"/>
    <cellStyle name="Normal 109 2" xfId="1068" xr:uid="{00000000-0005-0000-0000-00007C050000}"/>
    <cellStyle name="Normal 109 2 2" xfId="2095" xr:uid="{00000000-0005-0000-0000-00007D050000}"/>
    <cellStyle name="Normal 109 3" xfId="1582" xr:uid="{00000000-0005-0000-0000-00007E050000}"/>
    <cellStyle name="Normal 11" xfId="20" xr:uid="{00000000-0005-0000-0000-00007F050000}"/>
    <cellStyle name="Normal 11 2" xfId="50" xr:uid="{00000000-0005-0000-0000-000080050000}"/>
    <cellStyle name="Normal 11 2 2" xfId="115" xr:uid="{00000000-0005-0000-0000-000081050000}"/>
    <cellStyle name="Normal 11 2 2 2" xfId="662" xr:uid="{00000000-0005-0000-0000-000082050000}"/>
    <cellStyle name="Normal 11 2 2 2 2" xfId="1690" xr:uid="{00000000-0005-0000-0000-000083050000}"/>
    <cellStyle name="Normal 11 2 2 3" xfId="1177" xr:uid="{00000000-0005-0000-0000-000084050000}"/>
    <cellStyle name="Normal 11 2 3" xfId="606" xr:uid="{00000000-0005-0000-0000-000085050000}"/>
    <cellStyle name="Normal 11 2 3 2" xfId="1634" xr:uid="{00000000-0005-0000-0000-000086050000}"/>
    <cellStyle name="Normal 11 2 4" xfId="1121" xr:uid="{00000000-0005-0000-0000-000087050000}"/>
    <cellStyle name="Normal 11 3" xfId="73" xr:uid="{00000000-0005-0000-0000-000088050000}"/>
    <cellStyle name="Normal 11 3 2" xfId="132" xr:uid="{00000000-0005-0000-0000-000089050000}"/>
    <cellStyle name="Normal 11 3 2 2" xfId="679" xr:uid="{00000000-0005-0000-0000-00008A050000}"/>
    <cellStyle name="Normal 11 3 2 2 2" xfId="1707" xr:uid="{00000000-0005-0000-0000-00008B050000}"/>
    <cellStyle name="Normal 11 3 2 3" xfId="1194" xr:uid="{00000000-0005-0000-0000-00008C050000}"/>
    <cellStyle name="Normal 11 3 3" xfId="623" xr:uid="{00000000-0005-0000-0000-00008D050000}"/>
    <cellStyle name="Normal 11 3 3 2" xfId="1651" xr:uid="{00000000-0005-0000-0000-00008E050000}"/>
    <cellStyle name="Normal 11 3 4" xfId="1138" xr:uid="{00000000-0005-0000-0000-00008F050000}"/>
    <cellStyle name="Normal 11 4" xfId="99" xr:uid="{00000000-0005-0000-0000-000090050000}"/>
    <cellStyle name="Normal 11 4 2" xfId="646" xr:uid="{00000000-0005-0000-0000-000091050000}"/>
    <cellStyle name="Normal 11 4 2 2" xfId="1674" xr:uid="{00000000-0005-0000-0000-000092050000}"/>
    <cellStyle name="Normal 11 4 3" xfId="1161" xr:uid="{00000000-0005-0000-0000-000093050000}"/>
    <cellStyle name="Normal 11 5" xfId="590" xr:uid="{00000000-0005-0000-0000-000094050000}"/>
    <cellStyle name="Normal 11 5 2" xfId="1618" xr:uid="{00000000-0005-0000-0000-000095050000}"/>
    <cellStyle name="Normal 11 6" xfId="1105" xr:uid="{00000000-0005-0000-0000-000096050000}"/>
    <cellStyle name="Normal 110" xfId="568" xr:uid="{00000000-0005-0000-0000-000097050000}"/>
    <cellStyle name="Normal 110 2" xfId="1082" xr:uid="{00000000-0005-0000-0000-000098050000}"/>
    <cellStyle name="Normal 110 2 2" xfId="2109" xr:uid="{00000000-0005-0000-0000-000099050000}"/>
    <cellStyle name="Normal 110 3" xfId="1596" xr:uid="{00000000-0005-0000-0000-00009A050000}"/>
    <cellStyle name="Normal 111" xfId="2123" xr:uid="{00000000-0005-0000-0000-00009B050000}"/>
    <cellStyle name="Normal 112" xfId="2124" xr:uid="{00000000-0005-0000-0000-00009C050000}"/>
    <cellStyle name="Normal 113" xfId="2125" xr:uid="{00000000-0005-0000-0000-00009D050000}"/>
    <cellStyle name="Normal 12" xfId="21" xr:uid="{00000000-0005-0000-0000-00009E050000}"/>
    <cellStyle name="Normal 12 2" xfId="51" xr:uid="{00000000-0005-0000-0000-00009F050000}"/>
    <cellStyle name="Normal 12 2 2" xfId="116" xr:uid="{00000000-0005-0000-0000-0000A0050000}"/>
    <cellStyle name="Normal 12 2 2 2" xfId="663" xr:uid="{00000000-0005-0000-0000-0000A1050000}"/>
    <cellStyle name="Normal 12 2 2 2 2" xfId="1691" xr:uid="{00000000-0005-0000-0000-0000A2050000}"/>
    <cellStyle name="Normal 12 2 2 3" xfId="1178" xr:uid="{00000000-0005-0000-0000-0000A3050000}"/>
    <cellStyle name="Normal 12 2 3" xfId="607" xr:uid="{00000000-0005-0000-0000-0000A4050000}"/>
    <cellStyle name="Normal 12 2 3 2" xfId="1635" xr:uid="{00000000-0005-0000-0000-0000A5050000}"/>
    <cellStyle name="Normal 12 2 4" xfId="1122" xr:uid="{00000000-0005-0000-0000-0000A6050000}"/>
    <cellStyle name="Normal 12 3" xfId="74" xr:uid="{00000000-0005-0000-0000-0000A7050000}"/>
    <cellStyle name="Normal 12 3 2" xfId="133" xr:uid="{00000000-0005-0000-0000-0000A8050000}"/>
    <cellStyle name="Normal 12 3 2 2" xfId="680" xr:uid="{00000000-0005-0000-0000-0000A9050000}"/>
    <cellStyle name="Normal 12 3 2 2 2" xfId="1708" xr:uid="{00000000-0005-0000-0000-0000AA050000}"/>
    <cellStyle name="Normal 12 3 2 3" xfId="1195" xr:uid="{00000000-0005-0000-0000-0000AB050000}"/>
    <cellStyle name="Normal 12 3 3" xfId="624" xr:uid="{00000000-0005-0000-0000-0000AC050000}"/>
    <cellStyle name="Normal 12 3 3 2" xfId="1652" xr:uid="{00000000-0005-0000-0000-0000AD050000}"/>
    <cellStyle name="Normal 12 3 4" xfId="1139" xr:uid="{00000000-0005-0000-0000-0000AE050000}"/>
    <cellStyle name="Normal 12 4" xfId="100" xr:uid="{00000000-0005-0000-0000-0000AF050000}"/>
    <cellStyle name="Normal 12 4 2" xfId="647" xr:uid="{00000000-0005-0000-0000-0000B0050000}"/>
    <cellStyle name="Normal 12 4 2 2" xfId="1675" xr:uid="{00000000-0005-0000-0000-0000B1050000}"/>
    <cellStyle name="Normal 12 4 3" xfId="1162" xr:uid="{00000000-0005-0000-0000-0000B2050000}"/>
    <cellStyle name="Normal 12 5" xfId="591" xr:uid="{00000000-0005-0000-0000-0000B3050000}"/>
    <cellStyle name="Normal 12 5 2" xfId="1619" xr:uid="{00000000-0005-0000-0000-0000B4050000}"/>
    <cellStyle name="Normal 12 6" xfId="1106" xr:uid="{00000000-0005-0000-0000-0000B5050000}"/>
    <cellStyle name="Normal 13" xfId="22" xr:uid="{00000000-0005-0000-0000-0000B6050000}"/>
    <cellStyle name="Normal 13 2" xfId="52" xr:uid="{00000000-0005-0000-0000-0000B7050000}"/>
    <cellStyle name="Normal 13 2 2" xfId="117" xr:uid="{00000000-0005-0000-0000-0000B8050000}"/>
    <cellStyle name="Normal 13 2 2 2" xfId="664" xr:uid="{00000000-0005-0000-0000-0000B9050000}"/>
    <cellStyle name="Normal 13 2 2 2 2" xfId="1692" xr:uid="{00000000-0005-0000-0000-0000BA050000}"/>
    <cellStyle name="Normal 13 2 2 3" xfId="1179" xr:uid="{00000000-0005-0000-0000-0000BB050000}"/>
    <cellStyle name="Normal 13 2 3" xfId="608" xr:uid="{00000000-0005-0000-0000-0000BC050000}"/>
    <cellStyle name="Normal 13 2 3 2" xfId="1636" xr:uid="{00000000-0005-0000-0000-0000BD050000}"/>
    <cellStyle name="Normal 13 2 4" xfId="1123" xr:uid="{00000000-0005-0000-0000-0000BE050000}"/>
    <cellStyle name="Normal 13 3" xfId="75" xr:uid="{00000000-0005-0000-0000-0000BF050000}"/>
    <cellStyle name="Normal 13 3 2" xfId="134" xr:uid="{00000000-0005-0000-0000-0000C0050000}"/>
    <cellStyle name="Normal 13 3 2 2" xfId="681" xr:uid="{00000000-0005-0000-0000-0000C1050000}"/>
    <cellStyle name="Normal 13 3 2 2 2" xfId="1709" xr:uid="{00000000-0005-0000-0000-0000C2050000}"/>
    <cellStyle name="Normal 13 3 2 3" xfId="1196" xr:uid="{00000000-0005-0000-0000-0000C3050000}"/>
    <cellStyle name="Normal 13 3 3" xfId="625" xr:uid="{00000000-0005-0000-0000-0000C4050000}"/>
    <cellStyle name="Normal 13 3 3 2" xfId="1653" xr:uid="{00000000-0005-0000-0000-0000C5050000}"/>
    <cellStyle name="Normal 13 3 4" xfId="1140" xr:uid="{00000000-0005-0000-0000-0000C6050000}"/>
    <cellStyle name="Normal 13 4" xfId="101" xr:uid="{00000000-0005-0000-0000-0000C7050000}"/>
    <cellStyle name="Normal 13 4 2" xfId="648" xr:uid="{00000000-0005-0000-0000-0000C8050000}"/>
    <cellStyle name="Normal 13 4 2 2" xfId="1676" xr:uid="{00000000-0005-0000-0000-0000C9050000}"/>
    <cellStyle name="Normal 13 4 3" xfId="1163" xr:uid="{00000000-0005-0000-0000-0000CA050000}"/>
    <cellStyle name="Normal 13 5" xfId="592" xr:uid="{00000000-0005-0000-0000-0000CB050000}"/>
    <cellStyle name="Normal 13 5 2" xfId="1620" xr:uid="{00000000-0005-0000-0000-0000CC050000}"/>
    <cellStyle name="Normal 13 6" xfId="1107" xr:uid="{00000000-0005-0000-0000-0000CD050000}"/>
    <cellStyle name="Normal 14" xfId="24" xr:uid="{00000000-0005-0000-0000-0000CE050000}"/>
    <cellStyle name="Normal 14 2" xfId="54" xr:uid="{00000000-0005-0000-0000-0000CF050000}"/>
    <cellStyle name="Normal 14 2 2" xfId="118" xr:uid="{00000000-0005-0000-0000-0000D0050000}"/>
    <cellStyle name="Normal 14 2 2 2" xfId="665" xr:uid="{00000000-0005-0000-0000-0000D1050000}"/>
    <cellStyle name="Normal 14 2 2 2 2" xfId="1693" xr:uid="{00000000-0005-0000-0000-0000D2050000}"/>
    <cellStyle name="Normal 14 2 2 3" xfId="1180" xr:uid="{00000000-0005-0000-0000-0000D3050000}"/>
    <cellStyle name="Normal 14 2 3" xfId="609" xr:uid="{00000000-0005-0000-0000-0000D4050000}"/>
    <cellStyle name="Normal 14 2 3 2" xfId="1637" xr:uid="{00000000-0005-0000-0000-0000D5050000}"/>
    <cellStyle name="Normal 14 2 4" xfId="1124" xr:uid="{00000000-0005-0000-0000-0000D6050000}"/>
    <cellStyle name="Normal 14 3" xfId="76" xr:uid="{00000000-0005-0000-0000-0000D7050000}"/>
    <cellStyle name="Normal 14 3 2" xfId="135" xr:uid="{00000000-0005-0000-0000-0000D8050000}"/>
    <cellStyle name="Normal 14 3 2 2" xfId="682" xr:uid="{00000000-0005-0000-0000-0000D9050000}"/>
    <cellStyle name="Normal 14 3 2 2 2" xfId="1710" xr:uid="{00000000-0005-0000-0000-0000DA050000}"/>
    <cellStyle name="Normal 14 3 2 3" xfId="1197" xr:uid="{00000000-0005-0000-0000-0000DB050000}"/>
    <cellStyle name="Normal 14 3 3" xfId="626" xr:uid="{00000000-0005-0000-0000-0000DC050000}"/>
    <cellStyle name="Normal 14 3 3 2" xfId="1654" xr:uid="{00000000-0005-0000-0000-0000DD050000}"/>
    <cellStyle name="Normal 14 3 4" xfId="1141" xr:uid="{00000000-0005-0000-0000-0000DE050000}"/>
    <cellStyle name="Normal 14 4" xfId="102" xr:uid="{00000000-0005-0000-0000-0000DF050000}"/>
    <cellStyle name="Normal 14 4 2" xfId="649" xr:uid="{00000000-0005-0000-0000-0000E0050000}"/>
    <cellStyle name="Normal 14 4 2 2" xfId="1677" xr:uid="{00000000-0005-0000-0000-0000E1050000}"/>
    <cellStyle name="Normal 14 4 3" xfId="1164" xr:uid="{00000000-0005-0000-0000-0000E2050000}"/>
    <cellStyle name="Normal 14 5" xfId="593" xr:uid="{00000000-0005-0000-0000-0000E3050000}"/>
    <cellStyle name="Normal 14 5 2" xfId="1621" xr:uid="{00000000-0005-0000-0000-0000E4050000}"/>
    <cellStyle name="Normal 14 6" xfId="1108" xr:uid="{00000000-0005-0000-0000-0000E5050000}"/>
    <cellStyle name="Normal 15" xfId="27" xr:uid="{00000000-0005-0000-0000-0000E6050000}"/>
    <cellStyle name="Normal 15 2" xfId="57" xr:uid="{00000000-0005-0000-0000-0000E7050000}"/>
    <cellStyle name="Normal 15 2 2" xfId="120" xr:uid="{00000000-0005-0000-0000-0000E8050000}"/>
    <cellStyle name="Normal 15 2 2 2" xfId="667" xr:uid="{00000000-0005-0000-0000-0000E9050000}"/>
    <cellStyle name="Normal 15 2 2 2 2" xfId="1695" xr:uid="{00000000-0005-0000-0000-0000EA050000}"/>
    <cellStyle name="Normal 15 2 2 3" xfId="1182" xr:uid="{00000000-0005-0000-0000-0000EB050000}"/>
    <cellStyle name="Normal 15 2 3" xfId="611" xr:uid="{00000000-0005-0000-0000-0000EC050000}"/>
    <cellStyle name="Normal 15 2 3 2" xfId="1639" xr:uid="{00000000-0005-0000-0000-0000ED050000}"/>
    <cellStyle name="Normal 15 2 4" xfId="1126" xr:uid="{00000000-0005-0000-0000-0000EE050000}"/>
    <cellStyle name="Normal 15 3" xfId="78" xr:uid="{00000000-0005-0000-0000-0000EF050000}"/>
    <cellStyle name="Normal 15 3 2" xfId="137" xr:uid="{00000000-0005-0000-0000-0000F0050000}"/>
    <cellStyle name="Normal 15 3 2 2" xfId="684" xr:uid="{00000000-0005-0000-0000-0000F1050000}"/>
    <cellStyle name="Normal 15 3 2 2 2" xfId="1712" xr:uid="{00000000-0005-0000-0000-0000F2050000}"/>
    <cellStyle name="Normal 15 3 2 3" xfId="1199" xr:uid="{00000000-0005-0000-0000-0000F3050000}"/>
    <cellStyle name="Normal 15 3 3" xfId="628" xr:uid="{00000000-0005-0000-0000-0000F4050000}"/>
    <cellStyle name="Normal 15 3 3 2" xfId="1656" xr:uid="{00000000-0005-0000-0000-0000F5050000}"/>
    <cellStyle name="Normal 15 3 4" xfId="1143" xr:uid="{00000000-0005-0000-0000-0000F6050000}"/>
    <cellStyle name="Normal 15 4" xfId="104" xr:uid="{00000000-0005-0000-0000-0000F7050000}"/>
    <cellStyle name="Normal 15 4 2" xfId="651" xr:uid="{00000000-0005-0000-0000-0000F8050000}"/>
    <cellStyle name="Normal 15 4 2 2" xfId="1679" xr:uid="{00000000-0005-0000-0000-0000F9050000}"/>
    <cellStyle name="Normal 15 4 3" xfId="1166" xr:uid="{00000000-0005-0000-0000-0000FA050000}"/>
    <cellStyle name="Normal 15 5" xfId="595" xr:uid="{00000000-0005-0000-0000-0000FB050000}"/>
    <cellStyle name="Normal 15 5 2" xfId="1623" xr:uid="{00000000-0005-0000-0000-0000FC050000}"/>
    <cellStyle name="Normal 15 6" xfId="1110" xr:uid="{00000000-0005-0000-0000-0000FD050000}"/>
    <cellStyle name="Normal 16" xfId="29" xr:uid="{00000000-0005-0000-0000-0000FE050000}"/>
    <cellStyle name="Normal 16 2" xfId="58" xr:uid="{00000000-0005-0000-0000-0000FF050000}"/>
    <cellStyle name="Normal 16 2 2" xfId="121" xr:uid="{00000000-0005-0000-0000-000000060000}"/>
    <cellStyle name="Normal 16 2 2 2" xfId="668" xr:uid="{00000000-0005-0000-0000-000001060000}"/>
    <cellStyle name="Normal 16 2 2 2 2" xfId="1696" xr:uid="{00000000-0005-0000-0000-000002060000}"/>
    <cellStyle name="Normal 16 2 2 3" xfId="1183" xr:uid="{00000000-0005-0000-0000-000003060000}"/>
    <cellStyle name="Normal 16 2 3" xfId="612" xr:uid="{00000000-0005-0000-0000-000004060000}"/>
    <cellStyle name="Normal 16 2 3 2" xfId="1640" xr:uid="{00000000-0005-0000-0000-000005060000}"/>
    <cellStyle name="Normal 16 2 4" xfId="1127" xr:uid="{00000000-0005-0000-0000-000006060000}"/>
    <cellStyle name="Normal 16 3" xfId="79" xr:uid="{00000000-0005-0000-0000-000007060000}"/>
    <cellStyle name="Normal 16 3 2" xfId="138" xr:uid="{00000000-0005-0000-0000-000008060000}"/>
    <cellStyle name="Normal 16 3 2 2" xfId="685" xr:uid="{00000000-0005-0000-0000-000009060000}"/>
    <cellStyle name="Normal 16 3 2 2 2" xfId="1713" xr:uid="{00000000-0005-0000-0000-00000A060000}"/>
    <cellStyle name="Normal 16 3 2 3" xfId="1200" xr:uid="{00000000-0005-0000-0000-00000B060000}"/>
    <cellStyle name="Normal 16 3 3" xfId="629" xr:uid="{00000000-0005-0000-0000-00000C060000}"/>
    <cellStyle name="Normal 16 3 3 2" xfId="1657" xr:uid="{00000000-0005-0000-0000-00000D060000}"/>
    <cellStyle name="Normal 16 3 4" xfId="1144" xr:uid="{00000000-0005-0000-0000-00000E060000}"/>
    <cellStyle name="Normal 16 4" xfId="105" xr:uid="{00000000-0005-0000-0000-00000F060000}"/>
    <cellStyle name="Normal 16 4 2" xfId="652" xr:uid="{00000000-0005-0000-0000-000010060000}"/>
    <cellStyle name="Normal 16 4 2 2" xfId="1680" xr:uid="{00000000-0005-0000-0000-000011060000}"/>
    <cellStyle name="Normal 16 4 3" xfId="1167" xr:uid="{00000000-0005-0000-0000-000012060000}"/>
    <cellStyle name="Normal 16 5" xfId="596" xr:uid="{00000000-0005-0000-0000-000013060000}"/>
    <cellStyle name="Normal 16 5 2" xfId="1624" xr:uid="{00000000-0005-0000-0000-000014060000}"/>
    <cellStyle name="Normal 16 6" xfId="1111" xr:uid="{00000000-0005-0000-0000-000015060000}"/>
    <cellStyle name="Normal 17" xfId="31" xr:uid="{00000000-0005-0000-0000-000016060000}"/>
    <cellStyle name="Normal 17 2" xfId="60" xr:uid="{00000000-0005-0000-0000-000017060000}"/>
    <cellStyle name="Normal 17 2 2" xfId="122" xr:uid="{00000000-0005-0000-0000-000018060000}"/>
    <cellStyle name="Normal 17 2 2 2" xfId="669" xr:uid="{00000000-0005-0000-0000-000019060000}"/>
    <cellStyle name="Normal 17 2 2 2 2" xfId="1697" xr:uid="{00000000-0005-0000-0000-00001A060000}"/>
    <cellStyle name="Normal 17 2 2 3" xfId="1184" xr:uid="{00000000-0005-0000-0000-00001B060000}"/>
    <cellStyle name="Normal 17 2 3" xfId="613" xr:uid="{00000000-0005-0000-0000-00001C060000}"/>
    <cellStyle name="Normal 17 2 3 2" xfId="1641" xr:uid="{00000000-0005-0000-0000-00001D060000}"/>
    <cellStyle name="Normal 17 2 4" xfId="1128" xr:uid="{00000000-0005-0000-0000-00001E060000}"/>
    <cellStyle name="Normal 17 3" xfId="80" xr:uid="{00000000-0005-0000-0000-00001F060000}"/>
    <cellStyle name="Normal 17 3 2" xfId="139" xr:uid="{00000000-0005-0000-0000-000020060000}"/>
    <cellStyle name="Normal 17 3 2 2" xfId="686" xr:uid="{00000000-0005-0000-0000-000021060000}"/>
    <cellStyle name="Normal 17 3 2 2 2" xfId="1714" xr:uid="{00000000-0005-0000-0000-000022060000}"/>
    <cellStyle name="Normal 17 3 2 3" xfId="1201" xr:uid="{00000000-0005-0000-0000-000023060000}"/>
    <cellStyle name="Normal 17 3 3" xfId="630" xr:uid="{00000000-0005-0000-0000-000024060000}"/>
    <cellStyle name="Normal 17 3 3 2" xfId="1658" xr:uid="{00000000-0005-0000-0000-000025060000}"/>
    <cellStyle name="Normal 17 3 4" xfId="1145" xr:uid="{00000000-0005-0000-0000-000026060000}"/>
    <cellStyle name="Normal 17 4" xfId="106" xr:uid="{00000000-0005-0000-0000-000027060000}"/>
    <cellStyle name="Normal 17 4 2" xfId="653" xr:uid="{00000000-0005-0000-0000-000028060000}"/>
    <cellStyle name="Normal 17 4 2 2" xfId="1681" xr:uid="{00000000-0005-0000-0000-000029060000}"/>
    <cellStyle name="Normal 17 4 3" xfId="1168" xr:uid="{00000000-0005-0000-0000-00002A060000}"/>
    <cellStyle name="Normal 17 5" xfId="597" xr:uid="{00000000-0005-0000-0000-00002B060000}"/>
    <cellStyle name="Normal 17 5 2" xfId="1625" xr:uid="{00000000-0005-0000-0000-00002C060000}"/>
    <cellStyle name="Normal 17 6" xfId="1112" xr:uid="{00000000-0005-0000-0000-00002D060000}"/>
    <cellStyle name="Normal 18" xfId="90" xr:uid="{00000000-0005-0000-0000-00002E060000}"/>
    <cellStyle name="Normal 19" xfId="61" xr:uid="{00000000-0005-0000-0000-00002F060000}"/>
    <cellStyle name="Normal 19 2" xfId="123" xr:uid="{00000000-0005-0000-0000-000030060000}"/>
    <cellStyle name="Normal 19 2 2" xfId="670" xr:uid="{00000000-0005-0000-0000-000031060000}"/>
    <cellStyle name="Normal 19 2 2 2" xfId="1698" xr:uid="{00000000-0005-0000-0000-000032060000}"/>
    <cellStyle name="Normal 19 2 3" xfId="1185" xr:uid="{00000000-0005-0000-0000-000033060000}"/>
    <cellStyle name="Normal 19 3" xfId="614" xr:uid="{00000000-0005-0000-0000-000034060000}"/>
    <cellStyle name="Normal 19 3 2" xfId="1642" xr:uid="{00000000-0005-0000-0000-000035060000}"/>
    <cellStyle name="Normal 19 4" xfId="1129" xr:uid="{00000000-0005-0000-0000-000036060000}"/>
    <cellStyle name="normal 2" xfId="5" xr:uid="{00000000-0005-0000-0000-000037060000}"/>
    <cellStyle name="normal 2 10" xfId="83" xr:uid="{00000000-0005-0000-0000-000038060000}"/>
    <cellStyle name="Normal 2 11" xfId="85" xr:uid="{00000000-0005-0000-0000-000039060000}"/>
    <cellStyle name="Normal 2 11 2" xfId="141" xr:uid="{00000000-0005-0000-0000-00003A060000}"/>
    <cellStyle name="Normal 2 11 2 2" xfId="688" xr:uid="{00000000-0005-0000-0000-00003B060000}"/>
    <cellStyle name="Normal 2 11 2 2 2" xfId="1716" xr:uid="{00000000-0005-0000-0000-00003C060000}"/>
    <cellStyle name="Normal 2 11 2 3" xfId="1203" xr:uid="{00000000-0005-0000-0000-00003D060000}"/>
    <cellStyle name="Normal 2 11 3" xfId="633" xr:uid="{00000000-0005-0000-0000-00003E060000}"/>
    <cellStyle name="Normal 2 11 3 2" xfId="1661" xr:uid="{00000000-0005-0000-0000-00003F060000}"/>
    <cellStyle name="Normal 2 11 4" xfId="1148" xr:uid="{00000000-0005-0000-0000-000040060000}"/>
    <cellStyle name="Normal 2 12" xfId="89" xr:uid="{00000000-0005-0000-0000-000041060000}"/>
    <cellStyle name="Normal 2 12 2" xfId="145" xr:uid="{00000000-0005-0000-0000-000042060000}"/>
    <cellStyle name="Normal 2 12 2 2" xfId="692" xr:uid="{00000000-0005-0000-0000-000043060000}"/>
    <cellStyle name="Normal 2 12 2 2 2" xfId="1720" xr:uid="{00000000-0005-0000-0000-000044060000}"/>
    <cellStyle name="Normal 2 12 2 3" xfId="1207" xr:uid="{00000000-0005-0000-0000-000045060000}"/>
    <cellStyle name="Normal 2 12 3" xfId="637" xr:uid="{00000000-0005-0000-0000-000046060000}"/>
    <cellStyle name="Normal 2 12 3 2" xfId="1665" xr:uid="{00000000-0005-0000-0000-000047060000}"/>
    <cellStyle name="Normal 2 12 4" xfId="1152" xr:uid="{00000000-0005-0000-0000-000048060000}"/>
    <cellStyle name="normal 2 2" xfId="23" xr:uid="{00000000-0005-0000-0000-000049060000}"/>
    <cellStyle name="normal 2 3" xfId="25" xr:uid="{00000000-0005-0000-0000-00004A060000}"/>
    <cellStyle name="normal 2 4" xfId="28" xr:uid="{00000000-0005-0000-0000-00004B060000}"/>
    <cellStyle name="normal 2 5" xfId="30" xr:uid="{00000000-0005-0000-0000-00004C060000}"/>
    <cellStyle name="normal 2 6" xfId="32" xr:uid="{00000000-0005-0000-0000-00004D060000}"/>
    <cellStyle name="normal 2 7" xfId="33" xr:uid="{00000000-0005-0000-0000-00004E060000}"/>
    <cellStyle name="normal 2 8" xfId="59" xr:uid="{00000000-0005-0000-0000-00004F060000}"/>
    <cellStyle name="normal 2 9" xfId="81" xr:uid="{00000000-0005-0000-0000-000050060000}"/>
    <cellStyle name="Normal 20" xfId="82" xr:uid="{00000000-0005-0000-0000-000051060000}"/>
    <cellStyle name="Normal 20 2" xfId="140" xr:uid="{00000000-0005-0000-0000-000052060000}"/>
    <cellStyle name="Normal 20 2 2" xfId="687" xr:uid="{00000000-0005-0000-0000-000053060000}"/>
    <cellStyle name="Normal 20 2 2 2" xfId="1715" xr:uid="{00000000-0005-0000-0000-000054060000}"/>
    <cellStyle name="Normal 20 2 3" xfId="1202" xr:uid="{00000000-0005-0000-0000-000055060000}"/>
    <cellStyle name="Normal 20 3" xfId="631" xr:uid="{00000000-0005-0000-0000-000056060000}"/>
    <cellStyle name="Normal 20 3 2" xfId="1659" xr:uid="{00000000-0005-0000-0000-000057060000}"/>
    <cellStyle name="Normal 20 4" xfId="1146" xr:uid="{00000000-0005-0000-0000-000058060000}"/>
    <cellStyle name="Normal 21" xfId="186" xr:uid="{00000000-0005-0000-0000-000059060000}"/>
    <cellStyle name="Normal 22" xfId="188" xr:uid="{00000000-0005-0000-0000-00005A060000}"/>
    <cellStyle name="Normal 23" xfId="189" xr:uid="{00000000-0005-0000-0000-00005B060000}"/>
    <cellStyle name="Normal 24" xfId="192" xr:uid="{00000000-0005-0000-0000-00005C060000}"/>
    <cellStyle name="Normal 25" xfId="195" xr:uid="{00000000-0005-0000-0000-00005D060000}"/>
    <cellStyle name="Normal 25 2" xfId="710" xr:uid="{00000000-0005-0000-0000-00005E060000}"/>
    <cellStyle name="Normal 25 2 2" xfId="1737" xr:uid="{00000000-0005-0000-0000-00005F060000}"/>
    <cellStyle name="Normal 25 3" xfId="1224" xr:uid="{00000000-0005-0000-0000-000060060000}"/>
    <cellStyle name="Normal 26" xfId="196" xr:uid="{00000000-0005-0000-0000-000061060000}"/>
    <cellStyle name="Normal 26 2" xfId="711" xr:uid="{00000000-0005-0000-0000-000062060000}"/>
    <cellStyle name="Normal 26 2 2" xfId="1738" xr:uid="{00000000-0005-0000-0000-000063060000}"/>
    <cellStyle name="Normal 26 3" xfId="1225" xr:uid="{00000000-0005-0000-0000-000064060000}"/>
    <cellStyle name="Normal 27" xfId="210" xr:uid="{00000000-0005-0000-0000-000065060000}"/>
    <cellStyle name="Normal 27 2" xfId="725" xr:uid="{00000000-0005-0000-0000-000066060000}"/>
    <cellStyle name="Normal 27 2 2" xfId="1752" xr:uid="{00000000-0005-0000-0000-000067060000}"/>
    <cellStyle name="Normal 27 3" xfId="1239" xr:uid="{00000000-0005-0000-0000-000068060000}"/>
    <cellStyle name="Normal 28" xfId="213" xr:uid="{00000000-0005-0000-0000-000069060000}"/>
    <cellStyle name="Normal 28 2" xfId="728" xr:uid="{00000000-0005-0000-0000-00006A060000}"/>
    <cellStyle name="Normal 28 2 2" xfId="1755" xr:uid="{00000000-0005-0000-0000-00006B060000}"/>
    <cellStyle name="Normal 28 3" xfId="1242" xr:uid="{00000000-0005-0000-0000-00006C060000}"/>
    <cellStyle name="Normal 29" xfId="212" xr:uid="{00000000-0005-0000-0000-00006D060000}"/>
    <cellStyle name="Normal 29 2" xfId="727" xr:uid="{00000000-0005-0000-0000-00006E060000}"/>
    <cellStyle name="Normal 29 2 2" xfId="1754" xr:uid="{00000000-0005-0000-0000-00006F060000}"/>
    <cellStyle name="Normal 29 3" xfId="1241" xr:uid="{00000000-0005-0000-0000-000070060000}"/>
    <cellStyle name="Normal 3" xfId="12" xr:uid="{00000000-0005-0000-0000-000071060000}"/>
    <cellStyle name="Normal 3 2" xfId="34" xr:uid="{00000000-0005-0000-0000-000072060000}"/>
    <cellStyle name="Normal 3 2 2" xfId="42" xr:uid="{00000000-0005-0000-0000-000073060000}"/>
    <cellStyle name="Normal 3 2 2 2" xfId="107" xr:uid="{00000000-0005-0000-0000-000074060000}"/>
    <cellStyle name="Normal 3 2 2 2 2" xfId="654" xr:uid="{00000000-0005-0000-0000-000075060000}"/>
    <cellStyle name="Normal 3 2 2 2 2 2" xfId="1682" xr:uid="{00000000-0005-0000-0000-000076060000}"/>
    <cellStyle name="Normal 3 2 2 2 3" xfId="1169" xr:uid="{00000000-0005-0000-0000-000077060000}"/>
    <cellStyle name="Normal 3 2 2 3" xfId="598" xr:uid="{00000000-0005-0000-0000-000078060000}"/>
    <cellStyle name="Normal 3 2 2 3 2" xfId="1626" xr:uid="{00000000-0005-0000-0000-000079060000}"/>
    <cellStyle name="Normal 3 2 2 4" xfId="1113" xr:uid="{00000000-0005-0000-0000-00007A060000}"/>
    <cellStyle name="Normal 3 2 3" xfId="65" xr:uid="{00000000-0005-0000-0000-00007B060000}"/>
    <cellStyle name="Normal 3 2 3 2" xfId="124" xr:uid="{00000000-0005-0000-0000-00007C060000}"/>
    <cellStyle name="Normal 3 2 3 2 2" xfId="671" xr:uid="{00000000-0005-0000-0000-00007D060000}"/>
    <cellStyle name="Normal 3 2 3 2 2 2" xfId="1699" xr:uid="{00000000-0005-0000-0000-00007E060000}"/>
    <cellStyle name="Normal 3 2 3 2 3" xfId="1186" xr:uid="{00000000-0005-0000-0000-00007F060000}"/>
    <cellStyle name="Normal 3 2 3 3" xfId="615" xr:uid="{00000000-0005-0000-0000-000080060000}"/>
    <cellStyle name="Normal 3 2 3 3 2" xfId="1643" xr:uid="{00000000-0005-0000-0000-000081060000}"/>
    <cellStyle name="Normal 3 2 3 4" xfId="1130" xr:uid="{00000000-0005-0000-0000-000082060000}"/>
    <cellStyle name="Normal 3 3" xfId="55" xr:uid="{00000000-0005-0000-0000-000083060000}"/>
    <cellStyle name="Normal 3 4" xfId="86" xr:uid="{00000000-0005-0000-0000-000084060000}"/>
    <cellStyle name="Normal 3 4 2" xfId="142" xr:uid="{00000000-0005-0000-0000-000085060000}"/>
    <cellStyle name="Normal 3 4 2 2" xfId="689" xr:uid="{00000000-0005-0000-0000-000086060000}"/>
    <cellStyle name="Normal 3 4 2 2 2" xfId="1717" xr:uid="{00000000-0005-0000-0000-000087060000}"/>
    <cellStyle name="Normal 3 4 2 3" xfId="1204" xr:uid="{00000000-0005-0000-0000-000088060000}"/>
    <cellStyle name="Normal 3 4 3" xfId="634" xr:uid="{00000000-0005-0000-0000-000089060000}"/>
    <cellStyle name="Normal 3 4 3 2" xfId="1662" xr:uid="{00000000-0005-0000-0000-00008A060000}"/>
    <cellStyle name="Normal 3 4 4" xfId="1149" xr:uid="{00000000-0005-0000-0000-00008B060000}"/>
    <cellStyle name="Normal 3 5" xfId="91" xr:uid="{00000000-0005-0000-0000-00008C060000}"/>
    <cellStyle name="Normal 3 5 2" xfId="638" xr:uid="{00000000-0005-0000-0000-00008D060000}"/>
    <cellStyle name="Normal 3 5 2 2" xfId="1666" xr:uid="{00000000-0005-0000-0000-00008E060000}"/>
    <cellStyle name="Normal 3 5 3" xfId="1153" xr:uid="{00000000-0005-0000-0000-00008F060000}"/>
    <cellStyle name="Normal 3 6" xfId="582" xr:uid="{00000000-0005-0000-0000-000090060000}"/>
    <cellStyle name="Normal 3 6 2" xfId="1610" xr:uid="{00000000-0005-0000-0000-000091060000}"/>
    <cellStyle name="Normal 3 7" xfId="1097" xr:uid="{00000000-0005-0000-0000-000092060000}"/>
    <cellStyle name="Normal 30" xfId="211" xr:uid="{00000000-0005-0000-0000-000093060000}"/>
    <cellStyle name="Normal 30 2" xfId="726" xr:uid="{00000000-0005-0000-0000-000094060000}"/>
    <cellStyle name="Normal 30 2 2" xfId="1753" xr:uid="{00000000-0005-0000-0000-000095060000}"/>
    <cellStyle name="Normal 30 3" xfId="1240" xr:uid="{00000000-0005-0000-0000-000096060000}"/>
    <cellStyle name="Normal 31" xfId="217" xr:uid="{00000000-0005-0000-0000-000097060000}"/>
    <cellStyle name="Normal 31 2" xfId="732" xr:uid="{00000000-0005-0000-0000-000098060000}"/>
    <cellStyle name="Normal 31 2 2" xfId="1759" xr:uid="{00000000-0005-0000-0000-000099060000}"/>
    <cellStyle name="Normal 31 3" xfId="1246" xr:uid="{00000000-0005-0000-0000-00009A060000}"/>
    <cellStyle name="Normal 32" xfId="215" xr:uid="{00000000-0005-0000-0000-00009B060000}"/>
    <cellStyle name="Normal 32 2" xfId="730" xr:uid="{00000000-0005-0000-0000-00009C060000}"/>
    <cellStyle name="Normal 32 2 2" xfId="1757" xr:uid="{00000000-0005-0000-0000-00009D060000}"/>
    <cellStyle name="Normal 32 3" xfId="1244" xr:uid="{00000000-0005-0000-0000-00009E060000}"/>
    <cellStyle name="Normal 33" xfId="214" xr:uid="{00000000-0005-0000-0000-00009F060000}"/>
    <cellStyle name="Normal 33 2" xfId="729" xr:uid="{00000000-0005-0000-0000-0000A0060000}"/>
    <cellStyle name="Normal 33 2 2" xfId="1756" xr:uid="{00000000-0005-0000-0000-0000A1060000}"/>
    <cellStyle name="Normal 33 3" xfId="1243" xr:uid="{00000000-0005-0000-0000-0000A2060000}"/>
    <cellStyle name="Normal 34" xfId="230" xr:uid="{00000000-0005-0000-0000-0000A3060000}"/>
    <cellStyle name="Normal 34 2" xfId="745" xr:uid="{00000000-0005-0000-0000-0000A4060000}"/>
    <cellStyle name="Normal 34 2 2" xfId="1772" xr:uid="{00000000-0005-0000-0000-0000A5060000}"/>
    <cellStyle name="Normal 34 3" xfId="1259" xr:uid="{00000000-0005-0000-0000-0000A6060000}"/>
    <cellStyle name="Normal 35" xfId="232" xr:uid="{00000000-0005-0000-0000-0000A7060000}"/>
    <cellStyle name="Normal 35 2" xfId="747" xr:uid="{00000000-0005-0000-0000-0000A8060000}"/>
    <cellStyle name="Normal 35 2 2" xfId="1774" xr:uid="{00000000-0005-0000-0000-0000A9060000}"/>
    <cellStyle name="Normal 35 3" xfId="1261" xr:uid="{00000000-0005-0000-0000-0000AA060000}"/>
    <cellStyle name="Normal 36" xfId="231" xr:uid="{00000000-0005-0000-0000-0000AB060000}"/>
    <cellStyle name="Normal 36 2" xfId="746" xr:uid="{00000000-0005-0000-0000-0000AC060000}"/>
    <cellStyle name="Normal 36 2 2" xfId="1773" xr:uid="{00000000-0005-0000-0000-0000AD060000}"/>
    <cellStyle name="Normal 36 3" xfId="1260" xr:uid="{00000000-0005-0000-0000-0000AE060000}"/>
    <cellStyle name="Normal 37" xfId="246" xr:uid="{00000000-0005-0000-0000-0000AF060000}"/>
    <cellStyle name="Normal 37 2" xfId="761" xr:uid="{00000000-0005-0000-0000-0000B0060000}"/>
    <cellStyle name="Normal 37 2 2" xfId="1788" xr:uid="{00000000-0005-0000-0000-0000B1060000}"/>
    <cellStyle name="Normal 37 3" xfId="1275" xr:uid="{00000000-0005-0000-0000-0000B2060000}"/>
    <cellStyle name="Normal 38" xfId="260" xr:uid="{00000000-0005-0000-0000-0000B3060000}"/>
    <cellStyle name="Normal 38 2" xfId="775" xr:uid="{00000000-0005-0000-0000-0000B4060000}"/>
    <cellStyle name="Normal 38 2 2" xfId="1802" xr:uid="{00000000-0005-0000-0000-0000B5060000}"/>
    <cellStyle name="Normal 38 3" xfId="1289" xr:uid="{00000000-0005-0000-0000-0000B6060000}"/>
    <cellStyle name="Normal 39" xfId="261" xr:uid="{00000000-0005-0000-0000-0000B7060000}"/>
    <cellStyle name="Normal 39 2" xfId="776" xr:uid="{00000000-0005-0000-0000-0000B8060000}"/>
    <cellStyle name="Normal 39 2 2" xfId="1803" xr:uid="{00000000-0005-0000-0000-0000B9060000}"/>
    <cellStyle name="Normal 39 3" xfId="1290" xr:uid="{00000000-0005-0000-0000-0000BA060000}"/>
    <cellStyle name="Normal 4" xfId="13" xr:uid="{00000000-0005-0000-0000-0000BB060000}"/>
    <cellStyle name="Normal 4 2" xfId="43" xr:uid="{00000000-0005-0000-0000-0000BC060000}"/>
    <cellStyle name="Normal 4 2 2" xfId="88" xr:uid="{00000000-0005-0000-0000-0000BD060000}"/>
    <cellStyle name="Normal 4 2 2 2" xfId="144" xr:uid="{00000000-0005-0000-0000-0000BE060000}"/>
    <cellStyle name="Normal 4 2 2 2 2" xfId="691" xr:uid="{00000000-0005-0000-0000-0000BF060000}"/>
    <cellStyle name="Normal 4 2 2 2 2 2" xfId="1719" xr:uid="{00000000-0005-0000-0000-0000C0060000}"/>
    <cellStyle name="Normal 4 2 2 2 3" xfId="1206" xr:uid="{00000000-0005-0000-0000-0000C1060000}"/>
    <cellStyle name="Normal 4 2 2 3" xfId="636" xr:uid="{00000000-0005-0000-0000-0000C2060000}"/>
    <cellStyle name="Normal 4 2 2 3 2" xfId="1664" xr:uid="{00000000-0005-0000-0000-0000C3060000}"/>
    <cellStyle name="Normal 4 2 2 4" xfId="1151" xr:uid="{00000000-0005-0000-0000-0000C4060000}"/>
    <cellStyle name="Normal 4 2 3" xfId="108" xr:uid="{00000000-0005-0000-0000-0000C5060000}"/>
    <cellStyle name="Normal 4 2 3 2" xfId="655" xr:uid="{00000000-0005-0000-0000-0000C6060000}"/>
    <cellStyle name="Normal 4 2 3 2 2" xfId="1683" xr:uid="{00000000-0005-0000-0000-0000C7060000}"/>
    <cellStyle name="Normal 4 2 3 3" xfId="1170" xr:uid="{00000000-0005-0000-0000-0000C8060000}"/>
    <cellStyle name="Normal 4 2 4" xfId="599" xr:uid="{00000000-0005-0000-0000-0000C9060000}"/>
    <cellStyle name="Normal 4 2 4 2" xfId="1627" xr:uid="{00000000-0005-0000-0000-0000CA060000}"/>
    <cellStyle name="Normal 4 2 5" xfId="1114" xr:uid="{00000000-0005-0000-0000-0000CB060000}"/>
    <cellStyle name="Normal 4 3" xfId="66" xr:uid="{00000000-0005-0000-0000-0000CC060000}"/>
    <cellStyle name="Normal 4 3 2" xfId="125" xr:uid="{00000000-0005-0000-0000-0000CD060000}"/>
    <cellStyle name="Normal 4 3 2 2" xfId="672" xr:uid="{00000000-0005-0000-0000-0000CE060000}"/>
    <cellStyle name="Normal 4 3 2 2 2" xfId="1700" xr:uid="{00000000-0005-0000-0000-0000CF060000}"/>
    <cellStyle name="Normal 4 3 2 3" xfId="1187" xr:uid="{00000000-0005-0000-0000-0000D0060000}"/>
    <cellStyle name="Normal 4 3 3" xfId="616" xr:uid="{00000000-0005-0000-0000-0000D1060000}"/>
    <cellStyle name="Normal 4 3 3 2" xfId="1644" xr:uid="{00000000-0005-0000-0000-0000D2060000}"/>
    <cellStyle name="Normal 4 3 4" xfId="1131" xr:uid="{00000000-0005-0000-0000-0000D3060000}"/>
    <cellStyle name="Normal 4 4" xfId="87" xr:uid="{00000000-0005-0000-0000-0000D4060000}"/>
    <cellStyle name="Normal 4 4 2" xfId="143" xr:uid="{00000000-0005-0000-0000-0000D5060000}"/>
    <cellStyle name="Normal 4 4 2 2" xfId="690" xr:uid="{00000000-0005-0000-0000-0000D6060000}"/>
    <cellStyle name="Normal 4 4 2 2 2" xfId="1718" xr:uid="{00000000-0005-0000-0000-0000D7060000}"/>
    <cellStyle name="Normal 4 4 2 3" xfId="1205" xr:uid="{00000000-0005-0000-0000-0000D8060000}"/>
    <cellStyle name="Normal 4 4 3" xfId="635" xr:uid="{00000000-0005-0000-0000-0000D9060000}"/>
    <cellStyle name="Normal 4 4 3 2" xfId="1663" xr:uid="{00000000-0005-0000-0000-0000DA060000}"/>
    <cellStyle name="Normal 4 4 4" xfId="1150" xr:uid="{00000000-0005-0000-0000-0000DB060000}"/>
    <cellStyle name="Normal 4 5" xfId="92" xr:uid="{00000000-0005-0000-0000-0000DC060000}"/>
    <cellStyle name="Normal 4 5 2" xfId="639" xr:uid="{00000000-0005-0000-0000-0000DD060000}"/>
    <cellStyle name="Normal 4 5 2 2" xfId="1667" xr:uid="{00000000-0005-0000-0000-0000DE060000}"/>
    <cellStyle name="Normal 4 5 3" xfId="1154" xr:uid="{00000000-0005-0000-0000-0000DF060000}"/>
    <cellStyle name="Normal 4 6" xfId="583" xr:uid="{00000000-0005-0000-0000-0000E0060000}"/>
    <cellStyle name="Normal 4 6 2" xfId="1611" xr:uid="{00000000-0005-0000-0000-0000E1060000}"/>
    <cellStyle name="Normal 4 7" xfId="1098" xr:uid="{00000000-0005-0000-0000-0000E2060000}"/>
    <cellStyle name="Normal 40" xfId="275" xr:uid="{00000000-0005-0000-0000-0000E3060000}"/>
    <cellStyle name="Normal 40 2" xfId="790" xr:uid="{00000000-0005-0000-0000-0000E4060000}"/>
    <cellStyle name="Normal 40 2 2" xfId="1817" xr:uid="{00000000-0005-0000-0000-0000E5060000}"/>
    <cellStyle name="Normal 40 3" xfId="1304" xr:uid="{00000000-0005-0000-0000-0000E6060000}"/>
    <cellStyle name="Normal 41" xfId="289" xr:uid="{00000000-0005-0000-0000-0000E7060000}"/>
    <cellStyle name="Normal 41 2" xfId="804" xr:uid="{00000000-0005-0000-0000-0000E8060000}"/>
    <cellStyle name="Normal 41 2 2" xfId="1831" xr:uid="{00000000-0005-0000-0000-0000E9060000}"/>
    <cellStyle name="Normal 41 3" xfId="1318" xr:uid="{00000000-0005-0000-0000-0000EA060000}"/>
    <cellStyle name="Normal 42" xfId="290" xr:uid="{00000000-0005-0000-0000-0000EB060000}"/>
    <cellStyle name="Normal 42 2" xfId="805" xr:uid="{00000000-0005-0000-0000-0000EC060000}"/>
    <cellStyle name="Normal 42 2 2" xfId="1832" xr:uid="{00000000-0005-0000-0000-0000ED060000}"/>
    <cellStyle name="Normal 42 3" xfId="1319" xr:uid="{00000000-0005-0000-0000-0000EE060000}"/>
    <cellStyle name="Normal 43" xfId="304" xr:uid="{00000000-0005-0000-0000-0000EF060000}"/>
    <cellStyle name="Normal 43 2" xfId="819" xr:uid="{00000000-0005-0000-0000-0000F0060000}"/>
    <cellStyle name="Normal 43 2 2" xfId="1846" xr:uid="{00000000-0005-0000-0000-0000F1060000}"/>
    <cellStyle name="Normal 43 3" xfId="1333" xr:uid="{00000000-0005-0000-0000-0000F2060000}"/>
    <cellStyle name="Normal 44" xfId="306" xr:uid="{00000000-0005-0000-0000-0000F3060000}"/>
    <cellStyle name="Normal 44 2" xfId="820" xr:uid="{00000000-0005-0000-0000-0000F4060000}"/>
    <cellStyle name="Normal 44 2 2" xfId="1847" xr:uid="{00000000-0005-0000-0000-0000F5060000}"/>
    <cellStyle name="Normal 44 3" xfId="1334" xr:uid="{00000000-0005-0000-0000-0000F6060000}"/>
    <cellStyle name="Normal 45" xfId="307" xr:uid="{00000000-0005-0000-0000-0000F7060000}"/>
    <cellStyle name="Normal 45 2" xfId="821" xr:uid="{00000000-0005-0000-0000-0000F8060000}"/>
    <cellStyle name="Normal 45 2 2" xfId="1848" xr:uid="{00000000-0005-0000-0000-0000F9060000}"/>
    <cellStyle name="Normal 45 3" xfId="1335" xr:uid="{00000000-0005-0000-0000-0000FA060000}"/>
    <cellStyle name="Normal 46" xfId="309" xr:uid="{00000000-0005-0000-0000-0000FB060000}"/>
    <cellStyle name="Normal 46 2" xfId="823" xr:uid="{00000000-0005-0000-0000-0000FC060000}"/>
    <cellStyle name="Normal 46 2 2" xfId="1850" xr:uid="{00000000-0005-0000-0000-0000FD060000}"/>
    <cellStyle name="Normal 46 3" xfId="1337" xr:uid="{00000000-0005-0000-0000-0000FE060000}"/>
    <cellStyle name="Normal 47" xfId="311" xr:uid="{00000000-0005-0000-0000-0000FF060000}"/>
    <cellStyle name="Normal 47 2" xfId="825" xr:uid="{00000000-0005-0000-0000-000000070000}"/>
    <cellStyle name="Normal 47 2 2" xfId="1852" xr:uid="{00000000-0005-0000-0000-000001070000}"/>
    <cellStyle name="Normal 47 3" xfId="1339" xr:uid="{00000000-0005-0000-0000-000002070000}"/>
    <cellStyle name="Normal 48" xfId="316" xr:uid="{00000000-0005-0000-0000-000003070000}"/>
    <cellStyle name="Normal 48 2" xfId="830" xr:uid="{00000000-0005-0000-0000-000004070000}"/>
    <cellStyle name="Normal 48 2 2" xfId="1857" xr:uid="{00000000-0005-0000-0000-000005070000}"/>
    <cellStyle name="Normal 48 3" xfId="1344" xr:uid="{00000000-0005-0000-0000-000006070000}"/>
    <cellStyle name="Normal 49" xfId="315" xr:uid="{00000000-0005-0000-0000-000007070000}"/>
    <cellStyle name="Normal 49 2" xfId="829" xr:uid="{00000000-0005-0000-0000-000008070000}"/>
    <cellStyle name="Normal 49 2 2" xfId="1856" xr:uid="{00000000-0005-0000-0000-000009070000}"/>
    <cellStyle name="Normal 49 3" xfId="1343" xr:uid="{00000000-0005-0000-0000-00000A070000}"/>
    <cellStyle name="Normal 5" xfId="16" xr:uid="{00000000-0005-0000-0000-00000B070000}"/>
    <cellStyle name="Normal 5 2" xfId="46" xr:uid="{00000000-0005-0000-0000-00000C070000}"/>
    <cellStyle name="Normal 5 2 2" xfId="111" xr:uid="{00000000-0005-0000-0000-00000D070000}"/>
    <cellStyle name="Normal 5 2 2 2" xfId="658" xr:uid="{00000000-0005-0000-0000-00000E070000}"/>
    <cellStyle name="Normal 5 2 2 2 2" xfId="1686" xr:uid="{00000000-0005-0000-0000-00000F070000}"/>
    <cellStyle name="Normal 5 2 2 3" xfId="1173" xr:uid="{00000000-0005-0000-0000-000010070000}"/>
    <cellStyle name="Normal 5 2 3" xfId="602" xr:uid="{00000000-0005-0000-0000-000011070000}"/>
    <cellStyle name="Normal 5 2 3 2" xfId="1630" xr:uid="{00000000-0005-0000-0000-000012070000}"/>
    <cellStyle name="Normal 5 2 4" xfId="1117" xr:uid="{00000000-0005-0000-0000-000013070000}"/>
    <cellStyle name="Normal 5 3" xfId="69" xr:uid="{00000000-0005-0000-0000-000014070000}"/>
    <cellStyle name="Normal 5 3 2" xfId="128" xr:uid="{00000000-0005-0000-0000-000015070000}"/>
    <cellStyle name="Normal 5 3 2 2" xfId="675" xr:uid="{00000000-0005-0000-0000-000016070000}"/>
    <cellStyle name="Normal 5 3 2 2 2" xfId="1703" xr:uid="{00000000-0005-0000-0000-000017070000}"/>
    <cellStyle name="Normal 5 3 2 3" xfId="1190" xr:uid="{00000000-0005-0000-0000-000018070000}"/>
    <cellStyle name="Normal 5 3 3" xfId="619" xr:uid="{00000000-0005-0000-0000-000019070000}"/>
    <cellStyle name="Normal 5 3 3 2" xfId="1647" xr:uid="{00000000-0005-0000-0000-00001A070000}"/>
    <cellStyle name="Normal 5 3 4" xfId="1134" xr:uid="{00000000-0005-0000-0000-00001B070000}"/>
    <cellStyle name="Normal 5 4" xfId="95" xr:uid="{00000000-0005-0000-0000-00001C070000}"/>
    <cellStyle name="Normal 5 4 2" xfId="642" xr:uid="{00000000-0005-0000-0000-00001D070000}"/>
    <cellStyle name="Normal 5 4 2 2" xfId="1670" xr:uid="{00000000-0005-0000-0000-00001E070000}"/>
    <cellStyle name="Normal 5 4 3" xfId="1157" xr:uid="{00000000-0005-0000-0000-00001F070000}"/>
    <cellStyle name="Normal 5 5" xfId="586" xr:uid="{00000000-0005-0000-0000-000020070000}"/>
    <cellStyle name="Normal 5 5 2" xfId="1614" xr:uid="{00000000-0005-0000-0000-000021070000}"/>
    <cellStyle name="Normal 5 6" xfId="1101" xr:uid="{00000000-0005-0000-0000-000022070000}"/>
    <cellStyle name="Normal 50" xfId="321" xr:uid="{00000000-0005-0000-0000-000023070000}"/>
    <cellStyle name="Normal 50 2" xfId="835" xr:uid="{00000000-0005-0000-0000-000024070000}"/>
    <cellStyle name="Normal 50 2 2" xfId="1862" xr:uid="{00000000-0005-0000-0000-000025070000}"/>
    <cellStyle name="Normal 50 3" xfId="1349" xr:uid="{00000000-0005-0000-0000-000026070000}"/>
    <cellStyle name="Normal 51" xfId="326" xr:uid="{00000000-0005-0000-0000-000027070000}"/>
    <cellStyle name="Normal 51 2" xfId="840" xr:uid="{00000000-0005-0000-0000-000028070000}"/>
    <cellStyle name="Normal 51 2 2" xfId="1867" xr:uid="{00000000-0005-0000-0000-000029070000}"/>
    <cellStyle name="Normal 51 3" xfId="1354" xr:uid="{00000000-0005-0000-0000-00002A070000}"/>
    <cellStyle name="Normal 52" xfId="308" xr:uid="{00000000-0005-0000-0000-00002B070000}"/>
    <cellStyle name="Normal 52 2" xfId="822" xr:uid="{00000000-0005-0000-0000-00002C070000}"/>
    <cellStyle name="Normal 52 2 2" xfId="1849" xr:uid="{00000000-0005-0000-0000-00002D070000}"/>
    <cellStyle name="Normal 52 3" xfId="1336" xr:uid="{00000000-0005-0000-0000-00002E070000}"/>
    <cellStyle name="Normal 53" xfId="312" xr:uid="{00000000-0005-0000-0000-00002F070000}"/>
    <cellStyle name="Normal 53 2" xfId="826" xr:uid="{00000000-0005-0000-0000-000030070000}"/>
    <cellStyle name="Normal 53 2 2" xfId="1853" xr:uid="{00000000-0005-0000-0000-000031070000}"/>
    <cellStyle name="Normal 53 3" xfId="1340" xr:uid="{00000000-0005-0000-0000-000032070000}"/>
    <cellStyle name="Normal 54" xfId="323" xr:uid="{00000000-0005-0000-0000-000033070000}"/>
    <cellStyle name="Normal 54 2" xfId="837" xr:uid="{00000000-0005-0000-0000-000034070000}"/>
    <cellStyle name="Normal 54 2 2" xfId="1864" xr:uid="{00000000-0005-0000-0000-000035070000}"/>
    <cellStyle name="Normal 54 3" xfId="1351" xr:uid="{00000000-0005-0000-0000-000036070000}"/>
    <cellStyle name="Normal 55" xfId="322" xr:uid="{00000000-0005-0000-0000-000037070000}"/>
    <cellStyle name="Normal 55 2" xfId="836" xr:uid="{00000000-0005-0000-0000-000038070000}"/>
    <cellStyle name="Normal 55 2 2" xfId="1863" xr:uid="{00000000-0005-0000-0000-000039070000}"/>
    <cellStyle name="Normal 55 3" xfId="1350" xr:uid="{00000000-0005-0000-0000-00003A070000}"/>
    <cellStyle name="Normal 56" xfId="313" xr:uid="{00000000-0005-0000-0000-00003B070000}"/>
    <cellStyle name="Normal 56 2" xfId="827" xr:uid="{00000000-0005-0000-0000-00003C070000}"/>
    <cellStyle name="Normal 56 2 2" xfId="1854" xr:uid="{00000000-0005-0000-0000-00003D070000}"/>
    <cellStyle name="Normal 56 3" xfId="1341" xr:uid="{00000000-0005-0000-0000-00003E070000}"/>
    <cellStyle name="Normal 57" xfId="325" xr:uid="{00000000-0005-0000-0000-00003F070000}"/>
    <cellStyle name="Normal 57 2" xfId="839" xr:uid="{00000000-0005-0000-0000-000040070000}"/>
    <cellStyle name="Normal 57 2 2" xfId="1866" xr:uid="{00000000-0005-0000-0000-000041070000}"/>
    <cellStyle name="Normal 57 3" xfId="1353" xr:uid="{00000000-0005-0000-0000-000042070000}"/>
    <cellStyle name="Normal 58" xfId="319" xr:uid="{00000000-0005-0000-0000-000043070000}"/>
    <cellStyle name="Normal 58 2" xfId="833" xr:uid="{00000000-0005-0000-0000-000044070000}"/>
    <cellStyle name="Normal 58 2 2" xfId="1860" xr:uid="{00000000-0005-0000-0000-000045070000}"/>
    <cellStyle name="Normal 58 3" xfId="1347" xr:uid="{00000000-0005-0000-0000-000046070000}"/>
    <cellStyle name="Normal 59" xfId="324" xr:uid="{00000000-0005-0000-0000-000047070000}"/>
    <cellStyle name="Normal 59 2" xfId="838" xr:uid="{00000000-0005-0000-0000-000048070000}"/>
    <cellStyle name="Normal 59 2 2" xfId="1865" xr:uid="{00000000-0005-0000-0000-000049070000}"/>
    <cellStyle name="Normal 59 3" xfId="1352" xr:uid="{00000000-0005-0000-0000-00004A070000}"/>
    <cellStyle name="Normal 6" xfId="14" xr:uid="{00000000-0005-0000-0000-00004B070000}"/>
    <cellStyle name="Normal 6 2" xfId="44" xr:uid="{00000000-0005-0000-0000-00004C070000}"/>
    <cellStyle name="Normal 6 2 2" xfId="109" xr:uid="{00000000-0005-0000-0000-00004D070000}"/>
    <cellStyle name="Normal 6 2 2 2" xfId="656" xr:uid="{00000000-0005-0000-0000-00004E070000}"/>
    <cellStyle name="Normal 6 2 2 2 2" xfId="1684" xr:uid="{00000000-0005-0000-0000-00004F070000}"/>
    <cellStyle name="Normal 6 2 2 3" xfId="1171" xr:uid="{00000000-0005-0000-0000-000050070000}"/>
    <cellStyle name="Normal 6 2 3" xfId="600" xr:uid="{00000000-0005-0000-0000-000051070000}"/>
    <cellStyle name="Normal 6 2 3 2" xfId="1628" xr:uid="{00000000-0005-0000-0000-000052070000}"/>
    <cellStyle name="Normal 6 2 4" xfId="1115" xr:uid="{00000000-0005-0000-0000-000053070000}"/>
    <cellStyle name="Normal 6 3" xfId="67" xr:uid="{00000000-0005-0000-0000-000054070000}"/>
    <cellStyle name="Normal 6 3 2" xfId="126" xr:uid="{00000000-0005-0000-0000-000055070000}"/>
    <cellStyle name="Normal 6 3 2 2" xfId="673" xr:uid="{00000000-0005-0000-0000-000056070000}"/>
    <cellStyle name="Normal 6 3 2 2 2" xfId="1701" xr:uid="{00000000-0005-0000-0000-000057070000}"/>
    <cellStyle name="Normal 6 3 2 3" xfId="1188" xr:uid="{00000000-0005-0000-0000-000058070000}"/>
    <cellStyle name="Normal 6 3 3" xfId="617" xr:uid="{00000000-0005-0000-0000-000059070000}"/>
    <cellStyle name="Normal 6 3 3 2" xfId="1645" xr:uid="{00000000-0005-0000-0000-00005A070000}"/>
    <cellStyle name="Normal 6 3 4" xfId="1132" xr:uid="{00000000-0005-0000-0000-00005B070000}"/>
    <cellStyle name="Normal 6 4" xfId="93" xr:uid="{00000000-0005-0000-0000-00005C070000}"/>
    <cellStyle name="Normal 6 4 2" xfId="640" xr:uid="{00000000-0005-0000-0000-00005D070000}"/>
    <cellStyle name="Normal 6 4 2 2" xfId="1668" xr:uid="{00000000-0005-0000-0000-00005E070000}"/>
    <cellStyle name="Normal 6 4 3" xfId="1155" xr:uid="{00000000-0005-0000-0000-00005F070000}"/>
    <cellStyle name="Normal 6 5" xfId="584" xr:uid="{00000000-0005-0000-0000-000060070000}"/>
    <cellStyle name="Normal 6 5 2" xfId="1612" xr:uid="{00000000-0005-0000-0000-000061070000}"/>
    <cellStyle name="Normal 6 6" xfId="1099" xr:uid="{00000000-0005-0000-0000-000062070000}"/>
    <cellStyle name="Normal 60" xfId="320" xr:uid="{00000000-0005-0000-0000-000063070000}"/>
    <cellStyle name="Normal 60 2" xfId="834" xr:uid="{00000000-0005-0000-0000-000064070000}"/>
    <cellStyle name="Normal 60 2 2" xfId="1861" xr:uid="{00000000-0005-0000-0000-000065070000}"/>
    <cellStyle name="Normal 60 3" xfId="1348" xr:uid="{00000000-0005-0000-0000-000066070000}"/>
    <cellStyle name="Normal 61" xfId="317" xr:uid="{00000000-0005-0000-0000-000067070000}"/>
    <cellStyle name="Normal 61 2" xfId="831" xr:uid="{00000000-0005-0000-0000-000068070000}"/>
    <cellStyle name="Normal 61 2 2" xfId="1858" xr:uid="{00000000-0005-0000-0000-000069070000}"/>
    <cellStyle name="Normal 61 3" xfId="1345" xr:uid="{00000000-0005-0000-0000-00006A070000}"/>
    <cellStyle name="Normal 62" xfId="318" xr:uid="{00000000-0005-0000-0000-00006B070000}"/>
    <cellStyle name="Normal 62 2" xfId="832" xr:uid="{00000000-0005-0000-0000-00006C070000}"/>
    <cellStyle name="Normal 62 2 2" xfId="1859" xr:uid="{00000000-0005-0000-0000-00006D070000}"/>
    <cellStyle name="Normal 62 3" xfId="1346" xr:uid="{00000000-0005-0000-0000-00006E070000}"/>
    <cellStyle name="Normal 63" xfId="314" xr:uid="{00000000-0005-0000-0000-00006F070000}"/>
    <cellStyle name="Normal 63 2" xfId="828" xr:uid="{00000000-0005-0000-0000-000070070000}"/>
    <cellStyle name="Normal 63 2 2" xfId="1855" xr:uid="{00000000-0005-0000-0000-000071070000}"/>
    <cellStyle name="Normal 63 3" xfId="1342" xr:uid="{00000000-0005-0000-0000-000072070000}"/>
    <cellStyle name="Normal 64" xfId="327" xr:uid="{00000000-0005-0000-0000-000073070000}"/>
    <cellStyle name="Normal 64 2" xfId="841" xr:uid="{00000000-0005-0000-0000-000074070000}"/>
    <cellStyle name="Normal 64 2 2" xfId="1868" xr:uid="{00000000-0005-0000-0000-000075070000}"/>
    <cellStyle name="Normal 64 3" xfId="1355" xr:uid="{00000000-0005-0000-0000-000076070000}"/>
    <cellStyle name="Normal 65" xfId="328" xr:uid="{00000000-0005-0000-0000-000077070000}"/>
    <cellStyle name="Normal 65 2" xfId="842" xr:uid="{00000000-0005-0000-0000-000078070000}"/>
    <cellStyle name="Normal 65 2 2" xfId="1869" xr:uid="{00000000-0005-0000-0000-000079070000}"/>
    <cellStyle name="Normal 65 3" xfId="1356" xr:uid="{00000000-0005-0000-0000-00007A070000}"/>
    <cellStyle name="Normal 66" xfId="342" xr:uid="{00000000-0005-0000-0000-00007B070000}"/>
    <cellStyle name="Normal 66 2" xfId="856" xr:uid="{00000000-0005-0000-0000-00007C070000}"/>
    <cellStyle name="Normal 66 2 2" xfId="1883" xr:uid="{00000000-0005-0000-0000-00007D070000}"/>
    <cellStyle name="Normal 66 3" xfId="1370" xr:uid="{00000000-0005-0000-0000-00007E070000}"/>
    <cellStyle name="Normal 67" xfId="345" xr:uid="{00000000-0005-0000-0000-00007F070000}"/>
    <cellStyle name="Normal 67 2" xfId="859" xr:uid="{00000000-0005-0000-0000-000080070000}"/>
    <cellStyle name="Normal 67 2 2" xfId="1886" xr:uid="{00000000-0005-0000-0000-000081070000}"/>
    <cellStyle name="Normal 67 3" xfId="1373" xr:uid="{00000000-0005-0000-0000-000082070000}"/>
    <cellStyle name="Normal 68" xfId="344" xr:uid="{00000000-0005-0000-0000-000083070000}"/>
    <cellStyle name="Normal 68 2" xfId="858" xr:uid="{00000000-0005-0000-0000-000084070000}"/>
    <cellStyle name="Normal 68 2 2" xfId="1885" xr:uid="{00000000-0005-0000-0000-000085070000}"/>
    <cellStyle name="Normal 68 3" xfId="1372" xr:uid="{00000000-0005-0000-0000-000086070000}"/>
    <cellStyle name="Normal 69" xfId="343" xr:uid="{00000000-0005-0000-0000-000087070000}"/>
    <cellStyle name="Normal 69 2" xfId="857" xr:uid="{00000000-0005-0000-0000-000088070000}"/>
    <cellStyle name="Normal 69 2 2" xfId="1884" xr:uid="{00000000-0005-0000-0000-000089070000}"/>
    <cellStyle name="Normal 69 3" xfId="1371" xr:uid="{00000000-0005-0000-0000-00008A070000}"/>
    <cellStyle name="Normal 7" xfId="15" xr:uid="{00000000-0005-0000-0000-00008B070000}"/>
    <cellStyle name="Normal 7 2" xfId="45" xr:uid="{00000000-0005-0000-0000-00008C070000}"/>
    <cellStyle name="Normal 7 2 2" xfId="110" xr:uid="{00000000-0005-0000-0000-00008D070000}"/>
    <cellStyle name="Normal 7 2 2 2" xfId="657" xr:uid="{00000000-0005-0000-0000-00008E070000}"/>
    <cellStyle name="Normal 7 2 2 2 2" xfId="1685" xr:uid="{00000000-0005-0000-0000-00008F070000}"/>
    <cellStyle name="Normal 7 2 2 3" xfId="1172" xr:uid="{00000000-0005-0000-0000-000090070000}"/>
    <cellStyle name="Normal 7 2 3" xfId="601" xr:uid="{00000000-0005-0000-0000-000091070000}"/>
    <cellStyle name="Normal 7 2 3 2" xfId="1629" xr:uid="{00000000-0005-0000-0000-000092070000}"/>
    <cellStyle name="Normal 7 2 4" xfId="1116" xr:uid="{00000000-0005-0000-0000-000093070000}"/>
    <cellStyle name="Normal 7 3" xfId="68" xr:uid="{00000000-0005-0000-0000-000094070000}"/>
    <cellStyle name="Normal 7 3 2" xfId="127" xr:uid="{00000000-0005-0000-0000-000095070000}"/>
    <cellStyle name="Normal 7 3 2 2" xfId="674" xr:uid="{00000000-0005-0000-0000-000096070000}"/>
    <cellStyle name="Normal 7 3 2 2 2" xfId="1702" xr:uid="{00000000-0005-0000-0000-000097070000}"/>
    <cellStyle name="Normal 7 3 2 3" xfId="1189" xr:uid="{00000000-0005-0000-0000-000098070000}"/>
    <cellStyle name="Normal 7 3 3" xfId="618" xr:uid="{00000000-0005-0000-0000-000099070000}"/>
    <cellStyle name="Normal 7 3 3 2" xfId="1646" xr:uid="{00000000-0005-0000-0000-00009A070000}"/>
    <cellStyle name="Normal 7 3 4" xfId="1133" xr:uid="{00000000-0005-0000-0000-00009B070000}"/>
    <cellStyle name="Normal 7 4" xfId="94" xr:uid="{00000000-0005-0000-0000-00009C070000}"/>
    <cellStyle name="Normal 7 4 2" xfId="641" xr:uid="{00000000-0005-0000-0000-00009D070000}"/>
    <cellStyle name="Normal 7 4 2 2" xfId="1669" xr:uid="{00000000-0005-0000-0000-00009E070000}"/>
    <cellStyle name="Normal 7 4 3" xfId="1156" xr:uid="{00000000-0005-0000-0000-00009F070000}"/>
    <cellStyle name="Normal 7 5" xfId="585" xr:uid="{00000000-0005-0000-0000-0000A0070000}"/>
    <cellStyle name="Normal 7 5 2" xfId="1613" xr:uid="{00000000-0005-0000-0000-0000A1070000}"/>
    <cellStyle name="Normal 7 6" xfId="1100" xr:uid="{00000000-0005-0000-0000-0000A2070000}"/>
    <cellStyle name="Normal 70" xfId="349" xr:uid="{00000000-0005-0000-0000-0000A3070000}"/>
    <cellStyle name="Normal 70 2" xfId="863" xr:uid="{00000000-0005-0000-0000-0000A4070000}"/>
    <cellStyle name="Normal 70 2 2" xfId="1890" xr:uid="{00000000-0005-0000-0000-0000A5070000}"/>
    <cellStyle name="Normal 70 3" xfId="1377" xr:uid="{00000000-0005-0000-0000-0000A6070000}"/>
    <cellStyle name="Normal 71" xfId="347" xr:uid="{00000000-0005-0000-0000-0000A7070000}"/>
    <cellStyle name="Normal 71 2" xfId="861" xr:uid="{00000000-0005-0000-0000-0000A8070000}"/>
    <cellStyle name="Normal 71 2 2" xfId="1888" xr:uid="{00000000-0005-0000-0000-0000A9070000}"/>
    <cellStyle name="Normal 71 3" xfId="1375" xr:uid="{00000000-0005-0000-0000-0000AA070000}"/>
    <cellStyle name="Normal 72" xfId="346" xr:uid="{00000000-0005-0000-0000-0000AB070000}"/>
    <cellStyle name="Normal 72 2" xfId="860" xr:uid="{00000000-0005-0000-0000-0000AC070000}"/>
    <cellStyle name="Normal 72 2 2" xfId="1887" xr:uid="{00000000-0005-0000-0000-0000AD070000}"/>
    <cellStyle name="Normal 72 3" xfId="1374" xr:uid="{00000000-0005-0000-0000-0000AE070000}"/>
    <cellStyle name="Normal 73" xfId="362" xr:uid="{00000000-0005-0000-0000-0000AF070000}"/>
    <cellStyle name="Normal 73 2" xfId="876" xr:uid="{00000000-0005-0000-0000-0000B0070000}"/>
    <cellStyle name="Normal 73 2 2" xfId="1903" xr:uid="{00000000-0005-0000-0000-0000B1070000}"/>
    <cellStyle name="Normal 73 3" xfId="1390" xr:uid="{00000000-0005-0000-0000-0000B2070000}"/>
    <cellStyle name="Normal 74" xfId="376" xr:uid="{00000000-0005-0000-0000-0000B3070000}"/>
    <cellStyle name="Normal 74 2" xfId="890" xr:uid="{00000000-0005-0000-0000-0000B4070000}"/>
    <cellStyle name="Normal 74 2 2" xfId="1917" xr:uid="{00000000-0005-0000-0000-0000B5070000}"/>
    <cellStyle name="Normal 74 3" xfId="1404" xr:uid="{00000000-0005-0000-0000-0000B6070000}"/>
    <cellStyle name="Normal 75" xfId="379" xr:uid="{00000000-0005-0000-0000-0000B7070000}"/>
    <cellStyle name="Normal 75 2" xfId="893" xr:uid="{00000000-0005-0000-0000-0000B8070000}"/>
    <cellStyle name="Normal 75 2 2" xfId="1920" xr:uid="{00000000-0005-0000-0000-0000B9070000}"/>
    <cellStyle name="Normal 75 3" xfId="1407" xr:uid="{00000000-0005-0000-0000-0000BA070000}"/>
    <cellStyle name="Normal 76" xfId="378" xr:uid="{00000000-0005-0000-0000-0000BB070000}"/>
    <cellStyle name="Normal 76 2" xfId="892" xr:uid="{00000000-0005-0000-0000-0000BC070000}"/>
    <cellStyle name="Normal 76 2 2" xfId="1919" xr:uid="{00000000-0005-0000-0000-0000BD070000}"/>
    <cellStyle name="Normal 76 3" xfId="1406" xr:uid="{00000000-0005-0000-0000-0000BE070000}"/>
    <cellStyle name="Normal 77" xfId="377" xr:uid="{00000000-0005-0000-0000-0000BF070000}"/>
    <cellStyle name="Normal 77 2" xfId="891" xr:uid="{00000000-0005-0000-0000-0000C0070000}"/>
    <cellStyle name="Normal 77 2 2" xfId="1918" xr:uid="{00000000-0005-0000-0000-0000C1070000}"/>
    <cellStyle name="Normal 77 3" xfId="1405" xr:uid="{00000000-0005-0000-0000-0000C2070000}"/>
    <cellStyle name="Normal 78" xfId="382" xr:uid="{00000000-0005-0000-0000-0000C3070000}"/>
    <cellStyle name="Normal 78 2" xfId="896" xr:uid="{00000000-0005-0000-0000-0000C4070000}"/>
    <cellStyle name="Normal 78 2 2" xfId="1923" xr:uid="{00000000-0005-0000-0000-0000C5070000}"/>
    <cellStyle name="Normal 78 3" xfId="1410" xr:uid="{00000000-0005-0000-0000-0000C6070000}"/>
    <cellStyle name="Normal 79" xfId="380" xr:uid="{00000000-0005-0000-0000-0000C7070000}"/>
    <cellStyle name="Normal 79 2" xfId="894" xr:uid="{00000000-0005-0000-0000-0000C8070000}"/>
    <cellStyle name="Normal 79 2 2" xfId="1921" xr:uid="{00000000-0005-0000-0000-0000C9070000}"/>
    <cellStyle name="Normal 79 3" xfId="1408" xr:uid="{00000000-0005-0000-0000-0000CA070000}"/>
    <cellStyle name="Normal 8" xfId="17" xr:uid="{00000000-0005-0000-0000-0000CB070000}"/>
    <cellStyle name="Normal 8 2" xfId="47" xr:uid="{00000000-0005-0000-0000-0000CC070000}"/>
    <cellStyle name="Normal 8 2 2" xfId="112" xr:uid="{00000000-0005-0000-0000-0000CD070000}"/>
    <cellStyle name="Normal 8 2 2 2" xfId="659" xr:uid="{00000000-0005-0000-0000-0000CE070000}"/>
    <cellStyle name="Normal 8 2 2 2 2" xfId="1687" xr:uid="{00000000-0005-0000-0000-0000CF070000}"/>
    <cellStyle name="Normal 8 2 2 3" xfId="1174" xr:uid="{00000000-0005-0000-0000-0000D0070000}"/>
    <cellStyle name="Normal 8 2 3" xfId="603" xr:uid="{00000000-0005-0000-0000-0000D1070000}"/>
    <cellStyle name="Normal 8 2 3 2" xfId="1631" xr:uid="{00000000-0005-0000-0000-0000D2070000}"/>
    <cellStyle name="Normal 8 2 4" xfId="1118" xr:uid="{00000000-0005-0000-0000-0000D3070000}"/>
    <cellStyle name="Normal 8 3" xfId="70" xr:uid="{00000000-0005-0000-0000-0000D4070000}"/>
    <cellStyle name="Normal 8 3 2" xfId="129" xr:uid="{00000000-0005-0000-0000-0000D5070000}"/>
    <cellStyle name="Normal 8 3 2 2" xfId="676" xr:uid="{00000000-0005-0000-0000-0000D6070000}"/>
    <cellStyle name="Normal 8 3 2 2 2" xfId="1704" xr:uid="{00000000-0005-0000-0000-0000D7070000}"/>
    <cellStyle name="Normal 8 3 2 3" xfId="1191" xr:uid="{00000000-0005-0000-0000-0000D8070000}"/>
    <cellStyle name="Normal 8 3 3" xfId="620" xr:uid="{00000000-0005-0000-0000-0000D9070000}"/>
    <cellStyle name="Normal 8 3 3 2" xfId="1648" xr:uid="{00000000-0005-0000-0000-0000DA070000}"/>
    <cellStyle name="Normal 8 3 4" xfId="1135" xr:uid="{00000000-0005-0000-0000-0000DB070000}"/>
    <cellStyle name="Normal 8 4" xfId="96" xr:uid="{00000000-0005-0000-0000-0000DC070000}"/>
    <cellStyle name="Normal 8 4 2" xfId="643" xr:uid="{00000000-0005-0000-0000-0000DD070000}"/>
    <cellStyle name="Normal 8 4 2 2" xfId="1671" xr:uid="{00000000-0005-0000-0000-0000DE070000}"/>
    <cellStyle name="Normal 8 4 3" xfId="1158" xr:uid="{00000000-0005-0000-0000-0000DF070000}"/>
    <cellStyle name="Normal 8 5" xfId="587" xr:uid="{00000000-0005-0000-0000-0000E0070000}"/>
    <cellStyle name="Normal 8 5 2" xfId="1615" xr:uid="{00000000-0005-0000-0000-0000E1070000}"/>
    <cellStyle name="Normal 8 6" xfId="1102" xr:uid="{00000000-0005-0000-0000-0000E2070000}"/>
    <cellStyle name="Normal 80" xfId="395" xr:uid="{00000000-0005-0000-0000-0000E3070000}"/>
    <cellStyle name="Normal 80 2" xfId="909" xr:uid="{00000000-0005-0000-0000-0000E4070000}"/>
    <cellStyle name="Normal 80 2 2" xfId="1936" xr:uid="{00000000-0005-0000-0000-0000E5070000}"/>
    <cellStyle name="Normal 80 3" xfId="1423" xr:uid="{00000000-0005-0000-0000-0000E6070000}"/>
    <cellStyle name="Normal 81" xfId="409" xr:uid="{00000000-0005-0000-0000-0000E7070000}"/>
    <cellStyle name="Normal 81 2" xfId="923" xr:uid="{00000000-0005-0000-0000-0000E8070000}"/>
    <cellStyle name="Normal 81 2 2" xfId="1950" xr:uid="{00000000-0005-0000-0000-0000E9070000}"/>
    <cellStyle name="Normal 81 3" xfId="1437" xr:uid="{00000000-0005-0000-0000-0000EA070000}"/>
    <cellStyle name="Normal 82" xfId="412" xr:uid="{00000000-0005-0000-0000-0000EB070000}"/>
    <cellStyle name="Normal 82 2" xfId="926" xr:uid="{00000000-0005-0000-0000-0000EC070000}"/>
    <cellStyle name="Normal 82 2 2" xfId="1953" xr:uid="{00000000-0005-0000-0000-0000ED070000}"/>
    <cellStyle name="Normal 82 3" xfId="1440" xr:uid="{00000000-0005-0000-0000-0000EE070000}"/>
    <cellStyle name="Normal 83" xfId="411" xr:uid="{00000000-0005-0000-0000-0000EF070000}"/>
    <cellStyle name="Normal 83 2" xfId="925" xr:uid="{00000000-0005-0000-0000-0000F0070000}"/>
    <cellStyle name="Normal 83 2 2" xfId="1952" xr:uid="{00000000-0005-0000-0000-0000F1070000}"/>
    <cellStyle name="Normal 83 3" xfId="1439" xr:uid="{00000000-0005-0000-0000-0000F2070000}"/>
    <cellStyle name="Normal 84" xfId="410" xr:uid="{00000000-0005-0000-0000-0000F3070000}"/>
    <cellStyle name="Normal 84 2" xfId="924" xr:uid="{00000000-0005-0000-0000-0000F4070000}"/>
    <cellStyle name="Normal 84 2 2" xfId="1951" xr:uid="{00000000-0005-0000-0000-0000F5070000}"/>
    <cellStyle name="Normal 84 3" xfId="1438" xr:uid="{00000000-0005-0000-0000-0000F6070000}"/>
    <cellStyle name="Normal 85" xfId="417" xr:uid="{00000000-0005-0000-0000-0000F7070000}"/>
    <cellStyle name="Normal 85 2" xfId="931" xr:uid="{00000000-0005-0000-0000-0000F8070000}"/>
    <cellStyle name="Normal 85 2 2" xfId="1958" xr:uid="{00000000-0005-0000-0000-0000F9070000}"/>
    <cellStyle name="Normal 85 3" xfId="1445" xr:uid="{00000000-0005-0000-0000-0000FA070000}"/>
    <cellStyle name="Normal 86" xfId="414" xr:uid="{00000000-0005-0000-0000-0000FB070000}"/>
    <cellStyle name="Normal 86 2" xfId="928" xr:uid="{00000000-0005-0000-0000-0000FC070000}"/>
    <cellStyle name="Normal 86 2 2" xfId="1955" xr:uid="{00000000-0005-0000-0000-0000FD070000}"/>
    <cellStyle name="Normal 86 3" xfId="1442" xr:uid="{00000000-0005-0000-0000-0000FE070000}"/>
    <cellStyle name="Normal 87" xfId="413" xr:uid="{00000000-0005-0000-0000-0000FF070000}"/>
    <cellStyle name="Normal 87 2" xfId="927" xr:uid="{00000000-0005-0000-0000-000000080000}"/>
    <cellStyle name="Normal 87 2 2" xfId="1954" xr:uid="{00000000-0005-0000-0000-000001080000}"/>
    <cellStyle name="Normal 87 3" xfId="1441" xr:uid="{00000000-0005-0000-0000-000002080000}"/>
    <cellStyle name="Normal 88" xfId="415" xr:uid="{00000000-0005-0000-0000-000003080000}"/>
    <cellStyle name="Normal 88 2" xfId="929" xr:uid="{00000000-0005-0000-0000-000004080000}"/>
    <cellStyle name="Normal 88 2 2" xfId="1956" xr:uid="{00000000-0005-0000-0000-000005080000}"/>
    <cellStyle name="Normal 88 3" xfId="1443" xr:uid="{00000000-0005-0000-0000-000006080000}"/>
    <cellStyle name="Normal 89" xfId="430" xr:uid="{00000000-0005-0000-0000-000007080000}"/>
    <cellStyle name="Normal 89 2" xfId="944" xr:uid="{00000000-0005-0000-0000-000008080000}"/>
    <cellStyle name="Normal 89 2 2" xfId="1971" xr:uid="{00000000-0005-0000-0000-000009080000}"/>
    <cellStyle name="Normal 89 3" xfId="1458" xr:uid="{00000000-0005-0000-0000-00000A080000}"/>
    <cellStyle name="Normal 9" xfId="18" xr:uid="{00000000-0005-0000-0000-00000B080000}"/>
    <cellStyle name="Normal 9 2" xfId="48" xr:uid="{00000000-0005-0000-0000-00000C080000}"/>
    <cellStyle name="Normal 9 2 2" xfId="113" xr:uid="{00000000-0005-0000-0000-00000D080000}"/>
    <cellStyle name="Normal 9 2 2 2" xfId="660" xr:uid="{00000000-0005-0000-0000-00000E080000}"/>
    <cellStyle name="Normal 9 2 2 2 2" xfId="1688" xr:uid="{00000000-0005-0000-0000-00000F080000}"/>
    <cellStyle name="Normal 9 2 2 3" xfId="1175" xr:uid="{00000000-0005-0000-0000-000010080000}"/>
    <cellStyle name="Normal 9 2 3" xfId="604" xr:uid="{00000000-0005-0000-0000-000011080000}"/>
    <cellStyle name="Normal 9 2 3 2" xfId="1632" xr:uid="{00000000-0005-0000-0000-000012080000}"/>
    <cellStyle name="Normal 9 2 4" xfId="1119" xr:uid="{00000000-0005-0000-0000-000013080000}"/>
    <cellStyle name="Normal 9 3" xfId="71" xr:uid="{00000000-0005-0000-0000-000014080000}"/>
    <cellStyle name="Normal 9 3 2" xfId="130" xr:uid="{00000000-0005-0000-0000-000015080000}"/>
    <cellStyle name="Normal 9 3 2 2" xfId="677" xr:uid="{00000000-0005-0000-0000-000016080000}"/>
    <cellStyle name="Normal 9 3 2 2 2" xfId="1705" xr:uid="{00000000-0005-0000-0000-000017080000}"/>
    <cellStyle name="Normal 9 3 2 3" xfId="1192" xr:uid="{00000000-0005-0000-0000-000018080000}"/>
    <cellStyle name="Normal 9 3 3" xfId="621" xr:uid="{00000000-0005-0000-0000-000019080000}"/>
    <cellStyle name="Normal 9 3 3 2" xfId="1649" xr:uid="{00000000-0005-0000-0000-00001A080000}"/>
    <cellStyle name="Normal 9 3 4" xfId="1136" xr:uid="{00000000-0005-0000-0000-00001B080000}"/>
    <cellStyle name="Normal 9 4" xfId="97" xr:uid="{00000000-0005-0000-0000-00001C080000}"/>
    <cellStyle name="Normal 9 4 2" xfId="644" xr:uid="{00000000-0005-0000-0000-00001D080000}"/>
    <cellStyle name="Normal 9 4 2 2" xfId="1672" xr:uid="{00000000-0005-0000-0000-00001E080000}"/>
    <cellStyle name="Normal 9 4 3" xfId="1159" xr:uid="{00000000-0005-0000-0000-00001F080000}"/>
    <cellStyle name="Normal 9 5" xfId="588" xr:uid="{00000000-0005-0000-0000-000020080000}"/>
    <cellStyle name="Normal 9 5 2" xfId="1616" xr:uid="{00000000-0005-0000-0000-000021080000}"/>
    <cellStyle name="Normal 9 6" xfId="1103" xr:uid="{00000000-0005-0000-0000-000022080000}"/>
    <cellStyle name="Normal 90" xfId="432" xr:uid="{00000000-0005-0000-0000-000023080000}"/>
    <cellStyle name="Normal 90 2" xfId="946" xr:uid="{00000000-0005-0000-0000-000024080000}"/>
    <cellStyle name="Normal 90 2 2" xfId="1973" xr:uid="{00000000-0005-0000-0000-000025080000}"/>
    <cellStyle name="Normal 90 3" xfId="1460" xr:uid="{00000000-0005-0000-0000-000026080000}"/>
    <cellStyle name="Normal 91" xfId="431" xr:uid="{00000000-0005-0000-0000-000027080000}"/>
    <cellStyle name="Normal 91 2" xfId="945" xr:uid="{00000000-0005-0000-0000-000028080000}"/>
    <cellStyle name="Normal 91 2 2" xfId="1972" xr:uid="{00000000-0005-0000-0000-000029080000}"/>
    <cellStyle name="Normal 91 3" xfId="1459" xr:uid="{00000000-0005-0000-0000-00002A080000}"/>
    <cellStyle name="Normal 92" xfId="446" xr:uid="{00000000-0005-0000-0000-00002B080000}"/>
    <cellStyle name="Normal 92 2" xfId="960" xr:uid="{00000000-0005-0000-0000-00002C080000}"/>
    <cellStyle name="Normal 92 2 2" xfId="1987" xr:uid="{00000000-0005-0000-0000-00002D080000}"/>
    <cellStyle name="Normal 92 3" xfId="1474" xr:uid="{00000000-0005-0000-0000-00002E080000}"/>
    <cellStyle name="Normal 93" xfId="447" xr:uid="{00000000-0005-0000-0000-00002F080000}"/>
    <cellStyle name="Normal 93 2" xfId="961" xr:uid="{00000000-0005-0000-0000-000030080000}"/>
    <cellStyle name="Normal 93 2 2" xfId="1988" xr:uid="{00000000-0005-0000-0000-000031080000}"/>
    <cellStyle name="Normal 93 3" xfId="1475" xr:uid="{00000000-0005-0000-0000-000032080000}"/>
    <cellStyle name="Normal 94" xfId="450" xr:uid="{00000000-0005-0000-0000-000033080000}"/>
    <cellStyle name="Normal 94 2" xfId="964" xr:uid="{00000000-0005-0000-0000-000034080000}"/>
    <cellStyle name="Normal 94 2 2" xfId="1991" xr:uid="{00000000-0005-0000-0000-000035080000}"/>
    <cellStyle name="Normal 94 3" xfId="1478" xr:uid="{00000000-0005-0000-0000-000036080000}"/>
    <cellStyle name="Normal 95" xfId="449" xr:uid="{00000000-0005-0000-0000-000037080000}"/>
    <cellStyle name="Normal 95 2" xfId="963" xr:uid="{00000000-0005-0000-0000-000038080000}"/>
    <cellStyle name="Normal 95 2 2" xfId="1990" xr:uid="{00000000-0005-0000-0000-000039080000}"/>
    <cellStyle name="Normal 95 3" xfId="1477" xr:uid="{00000000-0005-0000-0000-00003A080000}"/>
    <cellStyle name="Normal 96" xfId="448" xr:uid="{00000000-0005-0000-0000-00003B080000}"/>
    <cellStyle name="Normal 96 2" xfId="962" xr:uid="{00000000-0005-0000-0000-00003C080000}"/>
    <cellStyle name="Normal 96 2 2" xfId="1989" xr:uid="{00000000-0005-0000-0000-00003D080000}"/>
    <cellStyle name="Normal 96 3" xfId="1476" xr:uid="{00000000-0005-0000-0000-00003E080000}"/>
    <cellStyle name="Normal 97" xfId="455" xr:uid="{00000000-0005-0000-0000-00003F080000}"/>
    <cellStyle name="Normal 97 2" xfId="969" xr:uid="{00000000-0005-0000-0000-000040080000}"/>
    <cellStyle name="Normal 97 2 2" xfId="1996" xr:uid="{00000000-0005-0000-0000-000041080000}"/>
    <cellStyle name="Normal 97 3" xfId="1483" xr:uid="{00000000-0005-0000-0000-000042080000}"/>
    <cellStyle name="Normal 98" xfId="452" xr:uid="{00000000-0005-0000-0000-000043080000}"/>
    <cellStyle name="Normal 98 2" xfId="966" xr:uid="{00000000-0005-0000-0000-000044080000}"/>
    <cellStyle name="Normal 98 2 2" xfId="1993" xr:uid="{00000000-0005-0000-0000-000045080000}"/>
    <cellStyle name="Normal 98 3" xfId="1480" xr:uid="{00000000-0005-0000-0000-000046080000}"/>
    <cellStyle name="Normal 99" xfId="451" xr:uid="{00000000-0005-0000-0000-000047080000}"/>
    <cellStyle name="Normal 99 2" xfId="965" xr:uid="{00000000-0005-0000-0000-000048080000}"/>
    <cellStyle name="Normal 99 2 2" xfId="1992" xr:uid="{00000000-0005-0000-0000-000049080000}"/>
    <cellStyle name="Normal 99 3" xfId="1479" xr:uid="{00000000-0005-0000-0000-00004A080000}"/>
    <cellStyle name="normal_BASISBUDGET1" xfId="6" xr:uid="{00000000-0005-0000-0000-00004B080000}"/>
    <cellStyle name="Normal_BASISBUDGET1_1" xfId="7" xr:uid="{00000000-0005-0000-0000-00004C080000}"/>
    <cellStyle name="Output" xfId="156" builtinId="21" customBuiltin="1"/>
    <cellStyle name="Overskrift 1" xfId="148" builtinId="16" customBuiltin="1"/>
    <cellStyle name="Overskrift 2" xfId="149" builtinId="17" customBuiltin="1"/>
    <cellStyle name="Overskrift 3" xfId="150" builtinId="18" customBuiltin="1"/>
    <cellStyle name="Overskrift 4" xfId="151" builtinId="19" customBuiltin="1"/>
    <cellStyle name="Procent" xfId="194" xr:uid="{00000000-0005-0000-0000-000052080000}"/>
    <cellStyle name="Procent 2" xfId="709" xr:uid="{00000000-0005-0000-0000-000053080000}"/>
    <cellStyle name="Procent_BASISBUDGET1" xfId="8" xr:uid="{00000000-0005-0000-0000-000054080000}"/>
    <cellStyle name="Punktum" xfId="9" xr:uid="{00000000-0005-0000-0000-000055080000}"/>
    <cellStyle name="Punktum 2" xfId="39" xr:uid="{00000000-0005-0000-0000-000056080000}"/>
    <cellStyle name="Punktum 3" xfId="63" xr:uid="{00000000-0005-0000-0000-000057080000}"/>
    <cellStyle name="Punktum0" xfId="10" xr:uid="{00000000-0005-0000-0000-000058080000}"/>
    <cellStyle name="Punktum0 2" xfId="40" xr:uid="{00000000-0005-0000-0000-000059080000}"/>
    <cellStyle name="Punktum0 3" xfId="64" xr:uid="{00000000-0005-0000-0000-00005A080000}"/>
    <cellStyle name="Sammenkædet celle" xfId="158" builtinId="24" customBuiltin="1"/>
    <cellStyle name="Titel" xfId="147" builtinId="15" customBuiltin="1"/>
    <cellStyle name="Titel 2" xfId="305" xr:uid="{00000000-0005-0000-0000-00005D080000}"/>
    <cellStyle name="Total" xfId="11" builtinId="25" customBuiltin="1"/>
    <cellStyle name="Total 2" xfId="41" xr:uid="{00000000-0005-0000-0000-00005F080000}"/>
    <cellStyle name="Total 3" xfId="191" xr:uid="{00000000-0005-0000-0000-000060080000}"/>
    <cellStyle name="Ugyldig" xfId="153" builtinId="27" customBuiltin="1"/>
  </cellStyles>
  <dxfs count="37"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numFmt numFmtId="167" formatCode="#,##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numFmt numFmtId="167" formatCode="#,##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numFmt numFmtId="167" formatCode="#,##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numFmt numFmtId="167" formatCode="#,##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numFmt numFmtId="167" formatCode="#,##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7" formatCode="#,##0.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7" formatCode="#,##0.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7" formatCode="#,##0.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7" formatCode="#,##0.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</dxf>
    <dxf>
      <border outline="0">
        <left style="medium">
          <color indexed="64"/>
        </left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numFmt numFmtId="3" formatCode="#,##0"/>
    </dxf>
    <dxf>
      <numFmt numFmtId="3" formatCode="#,##0"/>
    </dxf>
    <dxf>
      <numFmt numFmtId="3" formatCode="#,##0"/>
    </dxf>
    <dxf>
      <alignment wrapText="1" readingOrder="0"/>
    </dxf>
    <dxf>
      <numFmt numFmtId="3" formatCode="#,##0"/>
    </dxf>
    <dxf>
      <numFmt numFmtId="3" formatCode="#,##0"/>
    </dxf>
    <dxf>
      <numFmt numFmtId="3" formatCode="#,##0"/>
    </dxf>
    <dxf>
      <alignment wrapText="1" readingOrder="0"/>
    </dxf>
    <dxf>
      <numFmt numFmtId="169" formatCode="0.0%"/>
    </dxf>
    <dxf>
      <numFmt numFmtId="167" formatCode="#,##0.0"/>
    </dxf>
    <dxf>
      <numFmt numFmtId="169" formatCode="0.0%"/>
    </dxf>
    <dxf>
      <numFmt numFmtId="14" formatCode="0.00%"/>
    </dxf>
    <dxf>
      <alignment wrapText="1" readingOrder="0"/>
    </dxf>
    <dxf>
      <numFmt numFmtId="169" formatCode="0.0%"/>
    </dxf>
    <dxf>
      <numFmt numFmtId="13" formatCode="0%"/>
    </dxf>
  </dxfs>
  <tableStyles count="2" defaultTableStyle="TableStyleMedium9" defaultPivotStyle="PivotStyleLight16">
    <tableStyle name="Tabeltypografi 1" pivot="0" count="0" xr9:uid="{00000000-0011-0000-FFFF-FFFF00000000}"/>
    <tableStyle name="Tabeltypografi 2" pivot="0" count="0" xr9:uid="{00000000-0011-0000-FFFF-FFFF01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99CCFF"/>
      <color rgb="FF66FFFF"/>
      <color rgb="FFFF99CC"/>
      <color rgb="FFFFFFFF"/>
      <color rgb="FFFFCCFF"/>
      <color rgb="FFFF66CC"/>
      <color rgb="FFC8B7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66</xdr:row>
      <xdr:rowOff>136758</xdr:rowOff>
    </xdr:from>
    <xdr:to>
      <xdr:col>2</xdr:col>
      <xdr:colOff>133933</xdr:colOff>
      <xdr:row>83</xdr:row>
      <xdr:rowOff>20089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A9F112C3-D0F7-7C84-9C66-35B313EF6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546091"/>
          <a:ext cx="6396515" cy="2568746"/>
        </a:xfrm>
        <a:prstGeom prst="rect">
          <a:avLst/>
        </a:prstGeom>
      </xdr:spPr>
    </xdr:pic>
    <xdr:clientData/>
  </xdr:twoCellAnchor>
  <xdr:twoCellAnchor editAs="oneCell">
    <xdr:from>
      <xdr:col>2</xdr:col>
      <xdr:colOff>788279</xdr:colOff>
      <xdr:row>66</xdr:row>
      <xdr:rowOff>74083</xdr:rowOff>
    </xdr:from>
    <xdr:to>
      <xdr:col>13</xdr:col>
      <xdr:colOff>1271635</xdr:colOff>
      <xdr:row>83</xdr:row>
      <xdr:rowOff>19869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20210B88-A590-E15A-85E2-4C83A551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64196" y="15483416"/>
          <a:ext cx="6691962" cy="2648346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irgitte Rydén " refreshedDate="46282.7720625" createdVersion="6" refreshedVersion="8" minRefreshableVersion="3" recordCount="187" xr:uid="{00000000-000A-0000-FFFF-FFFF00000000}">
  <cacheSource type="worksheet">
    <worksheetSource ref="A7:G194" sheet=" Balance akt."/>
  </cacheSource>
  <cacheFields count="7">
    <cacheField name="Aktivitetsområde" numFmtId="0">
      <sharedItems containsBlank="1" count="31">
        <s v="11. Administration"/>
        <m/>
        <s v="12. Ejendomme"/>
        <s v="13. Rengøring - Bestiller"/>
        <s v="21. Natur, Miljø og Klima"/>
        <s v="23. Kirkegårde"/>
        <s v="27.Ejendomme - Grøn drift"/>
        <s v="28. By og Miljø"/>
        <s v="31. Beskæftigelsesindsats"/>
        <s v="32. Specialiseret voksenområde"/>
        <s v="33. Forsørgelsesydelser"/>
        <s v="34. Ældre"/>
        <s v="35. Sundhed"/>
        <s v="38. Erhverv og Uddannelse"/>
        <s v="41. Dagtilbud børn"/>
        <s v="42. Skoler"/>
        <s v="43. Kriminalpræve- og bolisociale aktiviter"/>
        <s v="44. Familier"/>
        <s v="45. Kultur, Idræt og Lokalsamfund"/>
        <s v="46. Folkeoplysning"/>
        <s v="50. Trafik og Mobilitet"/>
        <s v="Samlet for Hillerød Kommune"/>
        <s v="28. By og Trafik" u="1"/>
        <s v="31. Jobcenter" u="1"/>
        <s v="32. Borger- og Socialservice" u="1"/>
        <s v="33. Sociale ydelser" u="1"/>
        <s v="45. Kultur og Fritid" u="1"/>
        <s v="47. Idræt og Sundhed" u="1"/>
        <s v="30. Ungdommens Uddannelsesvejledning" u="1"/>
        <s v="24. Drift &amp; Vedligehold - ekstern leverandør" u="1"/>
        <s v="36. Erhverv og Turisme" u="1"/>
      </sharedItems>
    </cacheField>
    <cacheField name="type" numFmtId="0">
      <sharedItems containsBlank="1" count="8">
        <s v="Serviceramme ompr.sag"/>
        <s v="Driftsramme "/>
        <s v="Tekniske korrektioner"/>
        <s v="Afledt drift"/>
        <s v="Budgetønsker"/>
        <s v="Finansieringsforslag"/>
        <s v="Vedtaget budget 2020 - 2023"/>
        <m/>
      </sharedItems>
    </cacheField>
    <cacheField name="UDVALG" numFmtId="0">
      <sharedItems containsBlank="1" count="15">
        <s v="ØU"/>
        <m/>
        <s v="NMK"/>
        <s v="PBU"/>
        <s v="EUU"/>
        <s v="ÆSS"/>
        <s v="BFU"/>
        <s v="KIL"/>
        <s v="MTU"/>
        <s v="I alt Hill.Km."/>
        <s v="ABT" u="1"/>
        <s v="OLU" u="1"/>
        <s v="KFU" u="1"/>
        <s v="ISU" u="1"/>
        <s v="EBT" u="1"/>
      </sharedItems>
    </cacheField>
    <cacheField name="2027" numFmtId="0">
      <sharedItems containsString="0" containsBlank="1" containsNumber="1" minValue="-288601" maxValue="4289914.6940000001"/>
    </cacheField>
    <cacheField name="2028" numFmtId="0">
      <sharedItems containsString="0" containsBlank="1" containsNumber="1" minValue="-288341" maxValue="4286484.387000001"/>
    </cacheField>
    <cacheField name="2029" numFmtId="0">
      <sharedItems containsString="0" containsBlank="1" containsNumber="1" minValue="-288340" maxValue="4291899.7120000003"/>
    </cacheField>
    <cacheField name="2030" numFmtId="0">
      <sharedItems containsString="0" containsBlank="1" containsNumber="1" minValue="-288340" maxValue="4291899.71200000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irgitte Rydén " refreshedDate="46282.773050115742" createdVersion="6" refreshedVersion="8" minRefreshableVersion="3" recordCount="187" xr:uid="{00000000-000A-0000-FFFF-FFFF01000000}">
  <cacheSource type="worksheet">
    <worksheetSource ref="H7:M194" sheet=" Balance akt."/>
  </cacheSource>
  <cacheFields count="6">
    <cacheField name="Aktivitetsområde" numFmtId="0">
      <sharedItems containsBlank="1" containsMixedTypes="1" containsNumber="1" containsInteger="1" minValue="0" maxValue="0" count="23">
        <s v="11. Administration"/>
        <n v="0"/>
        <s v="12. Ejendomme"/>
        <s v="13. Rengøring - Bestiller"/>
        <s v="21. Natur, Miljø og Klima"/>
        <s v="23. Kirkegårde"/>
        <s v="27.Ejendomme - Grøn drift"/>
        <s v="28. By og Miljø"/>
        <s v="31. Beskæftigelsesindsats"/>
        <s v="32. Specialiseret voksenområde"/>
        <s v="33. Forsørgelsesydelser"/>
        <s v="34. Ældre"/>
        <s v="35. Sundhed"/>
        <s v="38. Erhverv og Uddannelse"/>
        <m/>
        <s v="41. Dagtilbud børn"/>
        <s v="42. Skoler"/>
        <s v="43. Kriminalpræve- og bolisociale aktiviter"/>
        <s v="44. Familier"/>
        <s v="45. Kultur, Idræt og Lokalsamfund"/>
        <s v="46. Folkeoplysning"/>
        <s v="50. Trafik og Mobilitet"/>
        <s v="Samlet for Hillerød Kommune"/>
      </sharedItems>
    </cacheField>
    <cacheField name="type" numFmtId="0">
      <sharedItems containsBlank="1" containsMixedTypes="1" containsNumber="1" containsInteger="1" minValue="0" maxValue="0" count="9">
        <s v="Serviceramme ompr.sag"/>
        <s v="Driftsramme "/>
        <s v="Tekniske korrektioner"/>
        <s v="Afledt drift"/>
        <s v="Budgetønsker"/>
        <s v="Finansieringsforslag"/>
        <s v="Vedtaget budget 2020 - 2023"/>
        <n v="0"/>
        <m/>
      </sharedItems>
    </cacheField>
    <cacheField name="2027 i pct" numFmtId="0">
      <sharedItems containsString="0" containsBlank="1" containsNumber="1" minValue="-223.7626954699339" maxValue="0.20797496497773305"/>
    </cacheField>
    <cacheField name="2028 i pct" numFmtId="0">
      <sharedItems containsString="0" containsBlank="1" containsNumber="1" minValue="-224.79365593138047" maxValue="0.21026695855587493"/>
    </cacheField>
    <cacheField name="2029 i pct" numFmtId="0">
      <sharedItems containsString="0" containsBlank="1" containsNumber="1" minValue="-228.61842105263159" maxValue="0.21026698904704755"/>
    </cacheField>
    <cacheField name="2030 i pct" numFmtId="0">
      <sharedItems containsString="0" containsBlank="1" containsNumber="1" minValue="-228.78289473684211" maxValue="0.2682707494200061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7">
  <r>
    <x v="0"/>
    <x v="0"/>
    <x v="0"/>
    <n v="475352.99"/>
    <n v="464720.51799999998"/>
    <n v="472800.50400000002"/>
    <n v="472800.50400000002"/>
  </r>
  <r>
    <x v="0"/>
    <x v="1"/>
    <x v="0"/>
    <n v="475923.87199999997"/>
    <n v="465291.4"/>
    <n v="473371.386"/>
    <n v="473371.386"/>
  </r>
  <r>
    <x v="0"/>
    <x v="2"/>
    <x v="0"/>
    <n v="7185"/>
    <n v="8224"/>
    <n v="7970"/>
    <n v="-545"/>
  </r>
  <r>
    <x v="0"/>
    <x v="3"/>
    <x v="0"/>
    <n v="106"/>
    <n v="296"/>
    <n v="296"/>
    <n v="106"/>
  </r>
  <r>
    <x v="0"/>
    <x v="4"/>
    <x v="0"/>
    <n v="8451"/>
    <n v="8991"/>
    <n v="8991"/>
    <n v="8991"/>
  </r>
  <r>
    <x v="0"/>
    <x v="5"/>
    <x v="0"/>
    <n v="-20625"/>
    <n v="-16795"/>
    <n v="-16695"/>
    <n v="-13570"/>
  </r>
  <r>
    <x v="0"/>
    <x v="6"/>
    <x v="0"/>
    <n v="471040.87199999997"/>
    <n v="466007.4"/>
    <n v="473933.386"/>
    <n v="468353.386"/>
  </r>
  <r>
    <x v="1"/>
    <x v="7"/>
    <x v="1"/>
    <m/>
    <m/>
    <m/>
    <m/>
  </r>
  <r>
    <x v="1"/>
    <x v="7"/>
    <x v="1"/>
    <m/>
    <m/>
    <m/>
    <m/>
  </r>
  <r>
    <x v="2"/>
    <x v="0"/>
    <x v="0"/>
    <n v="168790.29500000001"/>
    <n v="168249.91899999999"/>
    <n v="166302.535"/>
    <n v="166302.535"/>
  </r>
  <r>
    <x v="2"/>
    <x v="1"/>
    <x v="0"/>
    <n v="169925.58499999999"/>
    <n v="169385.231"/>
    <n v="167437.84700000001"/>
    <n v="167437.84700000001"/>
  </r>
  <r>
    <x v="2"/>
    <x v="2"/>
    <x v="0"/>
    <n v="-12243"/>
    <n v="-2430"/>
    <n v="38"/>
    <n v="-3253"/>
  </r>
  <r>
    <x v="2"/>
    <x v="3"/>
    <x v="0"/>
    <n v="-1541"/>
    <n v="-1181"/>
    <n v="112"/>
    <n v="-298"/>
  </r>
  <r>
    <x v="2"/>
    <x v="4"/>
    <x v="0"/>
    <n v="280"/>
    <n v="300"/>
    <n v="300"/>
    <n v="300"/>
  </r>
  <r>
    <x v="2"/>
    <x v="5"/>
    <x v="0"/>
    <n v="-15257"/>
    <n v="-14605"/>
    <n v="-14605"/>
    <n v="-14605"/>
  </r>
  <r>
    <x v="2"/>
    <x v="6"/>
    <x v="0"/>
    <n v="141164.58499999999"/>
    <n v="151469.231"/>
    <n v="153282.84700000001"/>
    <n v="149581.84700000001"/>
  </r>
  <r>
    <x v="1"/>
    <x v="7"/>
    <x v="1"/>
    <m/>
    <m/>
    <m/>
    <m/>
  </r>
  <r>
    <x v="1"/>
    <x v="7"/>
    <x v="1"/>
    <m/>
    <m/>
    <m/>
    <m/>
  </r>
  <r>
    <x v="3"/>
    <x v="0"/>
    <x v="0"/>
    <n v="53357.777999999998"/>
    <n v="53386.781999999999"/>
    <n v="53440.281999999999"/>
    <n v="53440.281999999999"/>
  </r>
  <r>
    <x v="3"/>
    <x v="1"/>
    <x v="0"/>
    <n v="53966.777999999998"/>
    <n v="53994.781999999999"/>
    <n v="54048.281999999999"/>
    <n v="54048.281999999999"/>
  </r>
  <r>
    <x v="3"/>
    <x v="2"/>
    <x v="0"/>
    <n v="872"/>
    <n v="1088"/>
    <n v="891"/>
    <n v="731"/>
  </r>
  <r>
    <x v="3"/>
    <x v="3"/>
    <x v="0"/>
    <n v="-277"/>
    <n v="-325"/>
    <n v="-133"/>
    <n v="-120"/>
  </r>
  <r>
    <x v="3"/>
    <x v="4"/>
    <x v="0"/>
    <n v="100"/>
    <n v="100"/>
    <n v="100"/>
    <n v="100"/>
  </r>
  <r>
    <x v="3"/>
    <x v="5"/>
    <x v="0"/>
    <n v="-360"/>
    <n v="-360"/>
    <n v="-360"/>
    <n v="-360"/>
  </r>
  <r>
    <x v="3"/>
    <x v="6"/>
    <x v="0"/>
    <n v="54301.777999999998"/>
    <n v="54497.781999999999"/>
    <n v="54546.281999999999"/>
    <n v="54399.281999999999"/>
  </r>
  <r>
    <x v="1"/>
    <x v="7"/>
    <x v="1"/>
    <m/>
    <m/>
    <m/>
    <m/>
  </r>
  <r>
    <x v="1"/>
    <x v="7"/>
    <x v="1"/>
    <m/>
    <m/>
    <m/>
    <m/>
  </r>
  <r>
    <x v="4"/>
    <x v="0"/>
    <x v="2"/>
    <n v="13943.986000000001"/>
    <n v="13791.991"/>
    <n v="13791.989"/>
    <n v="13791.989"/>
  </r>
  <r>
    <x v="4"/>
    <x v="1"/>
    <x v="2"/>
    <n v="13943.986000000001"/>
    <n v="13791.991"/>
    <n v="13791.989"/>
    <n v="13791.989"/>
  </r>
  <r>
    <x v="4"/>
    <x v="2"/>
    <x v="2"/>
    <n v="-972"/>
    <n v="-972"/>
    <n v="-971"/>
    <n v="-971"/>
  </r>
  <r>
    <x v="4"/>
    <x v="3"/>
    <x v="2"/>
    <n v="0"/>
    <n v="0"/>
    <n v="0"/>
    <n v="0"/>
  </r>
  <r>
    <x v="4"/>
    <x v="4"/>
    <x v="2"/>
    <n v="2900"/>
    <n v="2900"/>
    <n v="2900"/>
    <n v="2900"/>
  </r>
  <r>
    <x v="4"/>
    <x v="5"/>
    <x v="2"/>
    <n v="-200"/>
    <n v="-200"/>
    <n v="-200"/>
    <n v="-200"/>
  </r>
  <r>
    <x v="4"/>
    <x v="6"/>
    <x v="2"/>
    <n v="15671.986000000001"/>
    <n v="15519.991"/>
    <n v="15520.989"/>
    <n v="15520.989"/>
  </r>
  <r>
    <x v="1"/>
    <x v="7"/>
    <x v="1"/>
    <m/>
    <m/>
    <m/>
    <m/>
  </r>
  <r>
    <x v="1"/>
    <x v="7"/>
    <x v="1"/>
    <m/>
    <m/>
    <m/>
    <m/>
  </r>
  <r>
    <x v="5"/>
    <x v="0"/>
    <x v="0"/>
    <n v="3356.6959999999999"/>
    <n v="3358.7150000000001"/>
    <n v="3358.7150000000001"/>
    <n v="3358.7150000000001"/>
  </r>
  <r>
    <x v="5"/>
    <x v="1"/>
    <x v="0"/>
    <n v="3356.6959999999999"/>
    <n v="3358.7150000000001"/>
    <n v="3358.7150000000001"/>
    <n v="3358.7150000000001"/>
  </r>
  <r>
    <x v="5"/>
    <x v="2"/>
    <x v="0"/>
    <n v="-287"/>
    <n v="-240"/>
    <n v="-240"/>
    <n v="-240"/>
  </r>
  <r>
    <x v="5"/>
    <x v="3"/>
    <x v="0"/>
    <n v="0"/>
    <n v="0"/>
    <n v="0"/>
    <n v="0"/>
  </r>
  <r>
    <x v="5"/>
    <x v="4"/>
    <x v="0"/>
    <n v="0"/>
    <n v="0"/>
    <n v="0"/>
    <n v="0"/>
  </r>
  <r>
    <x v="5"/>
    <x v="5"/>
    <x v="0"/>
    <n v="-27"/>
    <n v="-27"/>
    <n v="-27"/>
    <n v="-27"/>
  </r>
  <r>
    <x v="5"/>
    <x v="6"/>
    <x v="0"/>
    <n v="3042.6959999999999"/>
    <n v="3091.7150000000001"/>
    <n v="3091.7150000000001"/>
    <n v="3091.7150000000001"/>
  </r>
  <r>
    <x v="1"/>
    <x v="7"/>
    <x v="1"/>
    <m/>
    <m/>
    <m/>
    <m/>
  </r>
  <r>
    <x v="1"/>
    <x v="7"/>
    <x v="1"/>
    <m/>
    <m/>
    <m/>
    <m/>
  </r>
  <r>
    <x v="6"/>
    <x v="0"/>
    <x v="0"/>
    <n v="-6.2030000000000003"/>
    <n v="-6.1790000000000003"/>
    <n v="-6.08"/>
    <n v="-6.08"/>
  </r>
  <r>
    <x v="6"/>
    <x v="1"/>
    <x v="0"/>
    <n v="-6.2030000000000003"/>
    <n v="-6.1790000000000003"/>
    <n v="-6.08"/>
    <n v="-6.08"/>
  </r>
  <r>
    <x v="6"/>
    <x v="2"/>
    <x v="0"/>
    <n v="1388"/>
    <n v="1389"/>
    <n v="1390"/>
    <n v="1391"/>
  </r>
  <r>
    <x v="6"/>
    <x v="3"/>
    <x v="0"/>
    <n v="0"/>
    <n v="0"/>
    <n v="0"/>
    <n v="0"/>
  </r>
  <r>
    <x v="6"/>
    <x v="4"/>
    <x v="0"/>
    <n v="0"/>
    <n v="0"/>
    <n v="0"/>
    <n v="0"/>
  </r>
  <r>
    <x v="6"/>
    <x v="5"/>
    <x v="0"/>
    <n v="0"/>
    <n v="0"/>
    <n v="0"/>
    <n v="0"/>
  </r>
  <r>
    <x v="6"/>
    <x v="6"/>
    <x v="0"/>
    <n v="1381.797"/>
    <n v="1382.8209999999999"/>
    <n v="1383.92"/>
    <n v="1384.92"/>
  </r>
  <r>
    <x v="1"/>
    <x v="7"/>
    <x v="1"/>
    <m/>
    <m/>
    <m/>
    <m/>
  </r>
  <r>
    <x v="1"/>
    <x v="7"/>
    <x v="1"/>
    <m/>
    <m/>
    <m/>
    <m/>
  </r>
  <r>
    <x v="7"/>
    <x v="0"/>
    <x v="3"/>
    <n v="1227.825"/>
    <n v="1227.825"/>
    <n v="1227.825"/>
    <n v="1227.825"/>
  </r>
  <r>
    <x v="7"/>
    <x v="1"/>
    <x v="3"/>
    <n v="1227.825"/>
    <n v="1227.825"/>
    <n v="1227.825"/>
    <n v="1227.825"/>
  </r>
  <r>
    <x v="7"/>
    <x v="2"/>
    <x v="3"/>
    <n v="-142"/>
    <n v="-142"/>
    <n v="-142"/>
    <n v="-142"/>
  </r>
  <r>
    <x v="7"/>
    <x v="3"/>
    <x v="3"/>
    <n v="0"/>
    <n v="0"/>
    <n v="0"/>
    <n v="0"/>
  </r>
  <r>
    <x v="7"/>
    <x v="4"/>
    <x v="3"/>
    <n v="64"/>
    <n v="100"/>
    <n v="100"/>
    <n v="100"/>
  </r>
  <r>
    <x v="7"/>
    <x v="5"/>
    <x v="3"/>
    <n v="-16"/>
    <n v="-16"/>
    <n v="-16"/>
    <n v="-16"/>
  </r>
  <r>
    <x v="7"/>
    <x v="6"/>
    <x v="3"/>
    <n v="1133.825"/>
    <n v="1169.825"/>
    <n v="1169.825"/>
    <n v="1169.825"/>
  </r>
  <r>
    <x v="1"/>
    <x v="7"/>
    <x v="1"/>
    <m/>
    <m/>
    <m/>
    <m/>
  </r>
  <r>
    <x v="1"/>
    <x v="7"/>
    <x v="1"/>
    <m/>
    <m/>
    <m/>
    <m/>
  </r>
  <r>
    <x v="8"/>
    <x v="0"/>
    <x v="4"/>
    <n v="1587.9480000000001"/>
    <n v="1587.9480000000001"/>
    <n v="1587.9480000000001"/>
    <n v="1587.9480000000001"/>
  </r>
  <r>
    <x v="8"/>
    <x v="1"/>
    <x v="4"/>
    <n v="30653.416000000001"/>
    <n v="29642.41"/>
    <n v="29404.025000000001"/>
    <n v="29404.025000000001"/>
  </r>
  <r>
    <x v="8"/>
    <x v="2"/>
    <x v="4"/>
    <n v="-1550"/>
    <n v="197"/>
    <n v="-2000"/>
    <n v="426"/>
  </r>
  <r>
    <x v="8"/>
    <x v="3"/>
    <x v="4"/>
    <n v="0"/>
    <n v="0"/>
    <n v="0"/>
    <n v="0"/>
  </r>
  <r>
    <x v="8"/>
    <x v="4"/>
    <x v="4"/>
    <n v="0"/>
    <n v="0"/>
    <n v="0"/>
    <n v="0"/>
  </r>
  <r>
    <x v="8"/>
    <x v="5"/>
    <x v="4"/>
    <n v="-50"/>
    <n v="-50"/>
    <n v="-50"/>
    <n v="-50"/>
  </r>
  <r>
    <x v="8"/>
    <x v="6"/>
    <x v="4"/>
    <n v="29053.416000000001"/>
    <n v="29789.41"/>
    <n v="27354.025000000001"/>
    <n v="29780.025000000001"/>
  </r>
  <r>
    <x v="1"/>
    <x v="7"/>
    <x v="1"/>
    <m/>
    <m/>
    <m/>
    <m/>
  </r>
  <r>
    <x v="1"/>
    <x v="7"/>
    <x v="1"/>
    <m/>
    <m/>
    <m/>
    <m/>
  </r>
  <r>
    <x v="9"/>
    <x v="0"/>
    <x v="5"/>
    <n v="377259.40899999999"/>
    <n v="371241.21100000001"/>
    <n v="365373.96299999999"/>
    <n v="365373.96299999999"/>
  </r>
  <r>
    <x v="9"/>
    <x v="1"/>
    <x v="5"/>
    <n v="399968.17099999997"/>
    <n v="394114.038"/>
    <n v="388246.79"/>
    <n v="388246.79"/>
  </r>
  <r>
    <x v="9"/>
    <x v="2"/>
    <x v="5"/>
    <n v="-1679"/>
    <n v="-118"/>
    <n v="433"/>
    <n v="419"/>
  </r>
  <r>
    <x v="9"/>
    <x v="3"/>
    <x v="5"/>
    <n v="0"/>
    <n v="0"/>
    <n v="0"/>
    <n v="0"/>
  </r>
  <r>
    <x v="9"/>
    <x v="4"/>
    <x v="5"/>
    <n v="11641"/>
    <n v="21791"/>
    <n v="20853"/>
    <n v="14202"/>
  </r>
  <r>
    <x v="9"/>
    <x v="5"/>
    <x v="5"/>
    <n v="-6559"/>
    <n v="-6559"/>
    <n v="-6559"/>
    <n v="-6559"/>
  </r>
  <r>
    <x v="9"/>
    <x v="6"/>
    <x v="5"/>
    <n v="403371.17099999997"/>
    <n v="409228.038"/>
    <n v="402973.79"/>
    <n v="396308.79"/>
  </r>
  <r>
    <x v="1"/>
    <x v="7"/>
    <x v="1"/>
    <m/>
    <m/>
    <m/>
    <m/>
  </r>
  <r>
    <x v="1"/>
    <x v="7"/>
    <x v="1"/>
    <m/>
    <m/>
    <m/>
    <m/>
  </r>
  <r>
    <x v="10"/>
    <x v="0"/>
    <x v="4"/>
    <n v="0"/>
    <n v="0"/>
    <n v="0"/>
    <n v="0"/>
  </r>
  <r>
    <x v="10"/>
    <x v="1"/>
    <x v="4"/>
    <n v="721951.64899999998"/>
    <n v="737320.97499999998"/>
    <n v="733481.31799999997"/>
    <n v="733481.31799999997"/>
  </r>
  <r>
    <x v="10"/>
    <x v="2"/>
    <x v="4"/>
    <n v="1573"/>
    <n v="4157"/>
    <n v="12277"/>
    <n v="27929"/>
  </r>
  <r>
    <x v="10"/>
    <x v="3"/>
    <x v="4"/>
    <n v="0"/>
    <n v="0"/>
    <n v="0"/>
    <n v="0"/>
  </r>
  <r>
    <x v="10"/>
    <x v="4"/>
    <x v="4"/>
    <n v="0"/>
    <n v="0"/>
    <n v="0"/>
    <n v="0"/>
  </r>
  <r>
    <x v="10"/>
    <x v="5"/>
    <x v="4"/>
    <n v="0"/>
    <n v="0"/>
    <n v="0"/>
    <n v="0"/>
  </r>
  <r>
    <x v="10"/>
    <x v="6"/>
    <x v="4"/>
    <n v="723524.64899999998"/>
    <n v="741477.97499999998"/>
    <n v="745758.31799999997"/>
    <n v="761410.31799999997"/>
  </r>
  <r>
    <x v="1"/>
    <x v="7"/>
    <x v="1"/>
    <m/>
    <m/>
    <m/>
    <m/>
  </r>
  <r>
    <x v="1"/>
    <x v="7"/>
    <x v="1"/>
    <m/>
    <m/>
    <m/>
    <m/>
  </r>
  <r>
    <x v="11"/>
    <x v="0"/>
    <x v="5"/>
    <n v="534079.45200000005"/>
    <n v="551069.23"/>
    <n v="558763.02"/>
    <n v="558763.02"/>
  </r>
  <r>
    <x v="11"/>
    <x v="1"/>
    <x v="5"/>
    <n v="534245.826"/>
    <n v="551200.68700000003"/>
    <n v="560216.22499999998"/>
    <n v="560216.22499999998"/>
  </r>
  <r>
    <x v="11"/>
    <x v="2"/>
    <x v="5"/>
    <n v="11462"/>
    <n v="10292"/>
    <n v="15003"/>
    <n v="20933"/>
  </r>
  <r>
    <x v="11"/>
    <x v="3"/>
    <x v="5"/>
    <n v="0"/>
    <n v="0"/>
    <n v="0"/>
    <n v="0"/>
  </r>
  <r>
    <x v="11"/>
    <x v="4"/>
    <x v="5"/>
    <n v="1790"/>
    <n v="1790"/>
    <n v="1790"/>
    <n v="1946"/>
  </r>
  <r>
    <x v="11"/>
    <x v="5"/>
    <x v="5"/>
    <n v="-2223"/>
    <n v="-2210"/>
    <n v="-2210"/>
    <n v="-2210"/>
  </r>
  <r>
    <x v="11"/>
    <x v="6"/>
    <x v="5"/>
    <n v="545274.826"/>
    <n v="561072.68700000003"/>
    <n v="574799.22499999998"/>
    <n v="580885.22499999998"/>
  </r>
  <r>
    <x v="1"/>
    <x v="7"/>
    <x v="1"/>
    <m/>
    <m/>
    <m/>
    <m/>
  </r>
  <r>
    <x v="1"/>
    <x v="7"/>
    <x v="1"/>
    <m/>
    <m/>
    <m/>
    <m/>
  </r>
  <r>
    <x v="12"/>
    <x v="0"/>
    <x v="5"/>
    <n v="82361.513999999996"/>
    <n v="82201.604999999996"/>
    <n v="82201.513999999996"/>
    <n v="82201.513999999996"/>
  </r>
  <r>
    <x v="12"/>
    <x v="1"/>
    <x v="5"/>
    <n v="331430.77799999999"/>
    <n v="331269.84299999999"/>
    <n v="331269.75199999998"/>
    <n v="331269.75199999998"/>
  </r>
  <r>
    <x v="12"/>
    <x v="2"/>
    <x v="5"/>
    <n v="-288601"/>
    <n v="-288341"/>
    <n v="-288340"/>
    <n v="-288340"/>
  </r>
  <r>
    <x v="12"/>
    <x v="3"/>
    <x v="5"/>
    <n v="0"/>
    <n v="0"/>
    <n v="0"/>
    <n v="0"/>
  </r>
  <r>
    <x v="12"/>
    <x v="4"/>
    <x v="5"/>
    <n v="0"/>
    <n v="0"/>
    <n v="0"/>
    <n v="0"/>
  </r>
  <r>
    <x v="12"/>
    <x v="5"/>
    <x v="5"/>
    <n v="-3000"/>
    <n v="-3000"/>
    <n v="-3000"/>
    <n v="-3000"/>
  </r>
  <r>
    <x v="12"/>
    <x v="6"/>
    <x v="5"/>
    <n v="39829.777999999991"/>
    <n v="39928.842999999993"/>
    <n v="39929.751999999979"/>
    <n v="39929.751999999979"/>
  </r>
  <r>
    <x v="1"/>
    <x v="7"/>
    <x v="1"/>
    <m/>
    <m/>
    <m/>
    <m/>
  </r>
  <r>
    <x v="1"/>
    <x v="7"/>
    <x v="1"/>
    <m/>
    <m/>
    <m/>
    <m/>
  </r>
  <r>
    <x v="13"/>
    <x v="0"/>
    <x v="4"/>
    <n v="48550.49"/>
    <n v="48550.51"/>
    <n v="48550.508000000002"/>
    <n v="48550.508000000002"/>
  </r>
  <r>
    <x v="13"/>
    <x v="1"/>
    <x v="4"/>
    <n v="60631.368000000002"/>
    <n v="60637.567999999999"/>
    <n v="60637.565000000002"/>
    <n v="60637.565000000002"/>
  </r>
  <r>
    <x v="13"/>
    <x v="2"/>
    <x v="4"/>
    <n v="-4919"/>
    <n v="-4317"/>
    <n v="-4254"/>
    <n v="-4254"/>
  </r>
  <r>
    <x v="13"/>
    <x v="3"/>
    <x v="4"/>
    <n v="0"/>
    <n v="0"/>
    <n v="0"/>
    <n v="0"/>
  </r>
  <r>
    <x v="13"/>
    <x v="4"/>
    <x v="4"/>
    <n v="100"/>
    <n v="100"/>
    <n v="100"/>
    <n v="100"/>
  </r>
  <r>
    <x v="13"/>
    <x v="5"/>
    <x v="4"/>
    <n v="-4465"/>
    <n v="-2215"/>
    <n v="-2215"/>
    <n v="-2215"/>
  </r>
  <r>
    <x v="13"/>
    <x v="6"/>
    <x v="4"/>
    <n v="51347.368000000002"/>
    <n v="54205.567999999999"/>
    <n v="54268.565000000002"/>
    <n v="54268.565000000002"/>
  </r>
  <r>
    <x v="1"/>
    <x v="7"/>
    <x v="1"/>
    <m/>
    <m/>
    <m/>
    <m/>
  </r>
  <r>
    <x v="1"/>
    <x v="7"/>
    <x v="1"/>
    <m/>
    <m/>
    <m/>
    <m/>
  </r>
  <r>
    <x v="14"/>
    <x v="0"/>
    <x v="6"/>
    <n v="327914.75300000003"/>
    <n v="327389.01500000001"/>
    <n v="326633.69099999999"/>
    <n v="326633.69099999999"/>
  </r>
  <r>
    <x v="14"/>
    <x v="1"/>
    <x v="6"/>
    <n v="327914.75300000003"/>
    <n v="327389.01500000001"/>
    <n v="326633.69099999999"/>
    <n v="326633.69099999999"/>
  </r>
  <r>
    <x v="14"/>
    <x v="2"/>
    <x v="6"/>
    <n v="15956"/>
    <n v="11465"/>
    <n v="10810"/>
    <n v="11633"/>
  </r>
  <r>
    <x v="14"/>
    <x v="3"/>
    <x v="6"/>
    <n v="29"/>
    <n v="29"/>
    <n v="29"/>
    <n v="0"/>
  </r>
  <r>
    <x v="14"/>
    <x v="4"/>
    <x v="6"/>
    <n v="9720"/>
    <n v="12393"/>
    <n v="8728"/>
    <n v="2390"/>
  </r>
  <r>
    <x v="14"/>
    <x v="5"/>
    <x v="6"/>
    <n v="0"/>
    <n v="0"/>
    <n v="0"/>
    <n v="0"/>
  </r>
  <r>
    <x v="14"/>
    <x v="6"/>
    <x v="6"/>
    <n v="353619.75300000003"/>
    <n v="351276.01500000001"/>
    <n v="346200.69099999999"/>
    <n v="340656.69099999999"/>
  </r>
  <r>
    <x v="1"/>
    <x v="7"/>
    <x v="1"/>
    <m/>
    <m/>
    <m/>
    <m/>
  </r>
  <r>
    <x v="1"/>
    <x v="7"/>
    <x v="1"/>
    <m/>
    <m/>
    <m/>
    <m/>
  </r>
  <r>
    <x v="15"/>
    <x v="0"/>
    <x v="6"/>
    <n v="695326.90899999999"/>
    <n v="691719.40800000005"/>
    <n v="698574.94200000004"/>
    <n v="698574.94200000004"/>
  </r>
  <r>
    <x v="15"/>
    <x v="1"/>
    <x v="6"/>
    <n v="695326.90899999999"/>
    <n v="691719.40800000005"/>
    <n v="698574.94200000004"/>
    <n v="698574.94200000004"/>
  </r>
  <r>
    <x v="15"/>
    <x v="2"/>
    <x v="6"/>
    <n v="-3567"/>
    <n v="-3017"/>
    <n v="-6050"/>
    <n v="-7140"/>
  </r>
  <r>
    <x v="15"/>
    <x v="3"/>
    <x v="6"/>
    <n v="141"/>
    <n v="141"/>
    <n v="147"/>
    <n v="152"/>
  </r>
  <r>
    <x v="15"/>
    <x v="4"/>
    <x v="6"/>
    <n v="11166"/>
    <n v="15999"/>
    <n v="15966"/>
    <n v="13317"/>
  </r>
  <r>
    <x v="15"/>
    <x v="5"/>
    <x v="6"/>
    <n v="-8717"/>
    <n v="-10000"/>
    <n v="-10000"/>
    <n v="-10000"/>
  </r>
  <r>
    <x v="15"/>
    <x v="6"/>
    <x v="6"/>
    <n v="694349.90899999999"/>
    <n v="694842.40800000005"/>
    <n v="698637.94200000004"/>
    <n v="694903.94200000004"/>
  </r>
  <r>
    <x v="1"/>
    <x v="7"/>
    <x v="1"/>
    <m/>
    <m/>
    <m/>
    <m/>
  </r>
  <r>
    <x v="1"/>
    <x v="7"/>
    <x v="1"/>
    <m/>
    <m/>
    <m/>
    <m/>
  </r>
  <r>
    <x v="16"/>
    <x v="0"/>
    <x v="6"/>
    <n v="5930.6490000000003"/>
    <n v="6136.6490000000003"/>
    <n v="6136.6490000000003"/>
    <n v="6136.6490000000003"/>
  </r>
  <r>
    <x v="16"/>
    <x v="1"/>
    <x v="6"/>
    <n v="5930.6490000000003"/>
    <n v="6136.6490000000003"/>
    <n v="6136.6490000000003"/>
    <n v="6136.6490000000003"/>
  </r>
  <r>
    <x v="16"/>
    <x v="2"/>
    <x v="6"/>
    <n v="263"/>
    <n v="99"/>
    <n v="99"/>
    <n v="100"/>
  </r>
  <r>
    <x v="16"/>
    <x v="3"/>
    <x v="6"/>
    <n v="0"/>
    <n v="0"/>
    <n v="0"/>
    <n v="0"/>
  </r>
  <r>
    <x v="16"/>
    <x v="4"/>
    <x v="6"/>
    <n v="0"/>
    <n v="0"/>
    <n v="0"/>
    <n v="0"/>
  </r>
  <r>
    <x v="16"/>
    <x v="5"/>
    <x v="6"/>
    <n v="0"/>
    <n v="0"/>
    <n v="0"/>
    <n v="0"/>
  </r>
  <r>
    <x v="16"/>
    <x v="6"/>
    <x v="6"/>
    <n v="6193.6490000000003"/>
    <n v="6235.6490000000003"/>
    <n v="6235.6490000000003"/>
    <n v="6236.6490000000003"/>
  </r>
  <r>
    <x v="1"/>
    <x v="7"/>
    <x v="1"/>
    <m/>
    <m/>
    <m/>
    <m/>
  </r>
  <r>
    <x v="1"/>
    <x v="7"/>
    <x v="1"/>
    <m/>
    <m/>
    <m/>
    <m/>
  </r>
  <r>
    <x v="17"/>
    <x v="0"/>
    <x v="6"/>
    <n v="221531.652"/>
    <n v="218369.30600000001"/>
    <n v="213245.345"/>
    <n v="213245.345"/>
  </r>
  <r>
    <x v="17"/>
    <x v="1"/>
    <x v="6"/>
    <n v="233243.53200000001"/>
    <n v="229342.37100000001"/>
    <n v="223336.43"/>
    <n v="223336.43"/>
  </r>
  <r>
    <x v="17"/>
    <x v="2"/>
    <x v="6"/>
    <n v="8130"/>
    <n v="8679"/>
    <n v="9639"/>
    <n v="9562"/>
  </r>
  <r>
    <x v="17"/>
    <x v="3"/>
    <x v="6"/>
    <n v="0"/>
    <n v="0"/>
    <n v="0"/>
    <n v="0"/>
  </r>
  <r>
    <x v="17"/>
    <x v="4"/>
    <x v="6"/>
    <n v="12195"/>
    <n v="17937"/>
    <n v="20264"/>
    <n v="15153"/>
  </r>
  <r>
    <x v="17"/>
    <x v="5"/>
    <x v="6"/>
    <n v="-2520"/>
    <n v="-3610"/>
    <n v="-4010"/>
    <n v="-4010"/>
  </r>
  <r>
    <x v="17"/>
    <x v="6"/>
    <x v="6"/>
    <n v="251048.53200000001"/>
    <n v="252348.37100000001"/>
    <n v="249229.43"/>
    <n v="244041.43"/>
  </r>
  <r>
    <x v="1"/>
    <x v="7"/>
    <x v="1"/>
    <m/>
    <m/>
    <m/>
    <m/>
  </r>
  <r>
    <x v="1"/>
    <x v="7"/>
    <x v="1"/>
    <m/>
    <m/>
    <m/>
    <m/>
  </r>
  <r>
    <x v="18"/>
    <x v="0"/>
    <x v="7"/>
    <n v="106195.37300000001"/>
    <n v="96853.656000000003"/>
    <n v="96918.358999999997"/>
    <n v="96918.358999999997"/>
  </r>
  <r>
    <x v="18"/>
    <x v="1"/>
    <x v="7"/>
    <n v="106195.37300000001"/>
    <n v="96853.656000000003"/>
    <n v="96918.358999999997"/>
    <n v="96918.358999999997"/>
  </r>
  <r>
    <x v="18"/>
    <x v="2"/>
    <x v="7"/>
    <n v="-3258"/>
    <n v="-82"/>
    <n v="-83"/>
    <n v="-83"/>
  </r>
  <r>
    <x v="18"/>
    <x v="3"/>
    <x v="7"/>
    <n v="35"/>
    <n v="35"/>
    <n v="35"/>
    <n v="35"/>
  </r>
  <r>
    <x v="18"/>
    <x v="4"/>
    <x v="7"/>
    <n v="485"/>
    <n v="485"/>
    <n v="485"/>
    <n v="485"/>
  </r>
  <r>
    <x v="18"/>
    <x v="5"/>
    <x v="7"/>
    <n v="-4788"/>
    <n v="1651"/>
    <n v="-349"/>
    <n v="-349"/>
  </r>
  <r>
    <x v="18"/>
    <x v="6"/>
    <x v="7"/>
    <n v="98669.373000000007"/>
    <n v="98942.656000000003"/>
    <n v="97006.358999999997"/>
    <n v="97006.358999999997"/>
  </r>
  <r>
    <x v="1"/>
    <x v="7"/>
    <x v="1"/>
    <m/>
    <m/>
    <m/>
    <m/>
  </r>
  <r>
    <x v="1"/>
    <x v="7"/>
    <x v="1"/>
    <m/>
    <m/>
    <m/>
    <m/>
  </r>
  <r>
    <x v="19"/>
    <x v="0"/>
    <x v="0"/>
    <n v="6177.7839999999997"/>
    <n v="6176.7550000000001"/>
    <n v="6176.7550000000001"/>
    <n v="6176.7550000000001"/>
  </r>
  <r>
    <x v="19"/>
    <x v="1"/>
    <x v="0"/>
    <n v="6177.7839999999997"/>
    <n v="6176.7550000000001"/>
    <n v="6176.7550000000001"/>
    <n v="6176.7550000000001"/>
  </r>
  <r>
    <x v="19"/>
    <x v="2"/>
    <x v="0"/>
    <n v="236"/>
    <n v="236"/>
    <n v="236"/>
    <n v="236"/>
  </r>
  <r>
    <x v="19"/>
    <x v="3"/>
    <x v="0"/>
    <n v="0"/>
    <n v="0"/>
    <n v="0"/>
    <n v="0"/>
  </r>
  <r>
    <x v="19"/>
    <x v="4"/>
    <x v="0"/>
    <n v="0"/>
    <n v="0"/>
    <n v="0"/>
    <n v="0"/>
  </r>
  <r>
    <x v="19"/>
    <x v="5"/>
    <x v="0"/>
    <n v="-78"/>
    <n v="-78"/>
    <n v="-78"/>
    <n v="-78"/>
  </r>
  <r>
    <x v="19"/>
    <x v="6"/>
    <x v="0"/>
    <n v="6335.7839999999997"/>
    <n v="6334.7550000000001"/>
    <n v="6334.7550000000001"/>
    <n v="6334.7550000000001"/>
  </r>
  <r>
    <x v="1"/>
    <x v="7"/>
    <x v="1"/>
    <m/>
    <m/>
    <m/>
    <m/>
  </r>
  <r>
    <x v="1"/>
    <x v="7"/>
    <x v="1"/>
    <m/>
    <m/>
    <m/>
    <m/>
  </r>
  <r>
    <x v="20"/>
    <x v="0"/>
    <x v="8"/>
    <n v="117905.947"/>
    <n v="117637.247"/>
    <n v="117637.247"/>
    <n v="117637.247"/>
  </r>
  <r>
    <x v="20"/>
    <x v="1"/>
    <x v="8"/>
    <n v="117905.947"/>
    <n v="117637.247"/>
    <n v="117637.247"/>
    <n v="117637.247"/>
  </r>
  <r>
    <x v="20"/>
    <x v="2"/>
    <x v="8"/>
    <n v="-509"/>
    <n v="-672"/>
    <n v="-617"/>
    <n v="-616"/>
  </r>
  <r>
    <x v="20"/>
    <x v="3"/>
    <x v="8"/>
    <n v="0"/>
    <n v="0"/>
    <n v="0"/>
    <n v="0"/>
  </r>
  <r>
    <x v="20"/>
    <x v="4"/>
    <x v="8"/>
    <n v="0"/>
    <n v="0"/>
    <n v="0"/>
    <n v="0"/>
  </r>
  <r>
    <x v="20"/>
    <x v="5"/>
    <x v="8"/>
    <n v="-19869"/>
    <n v="-2300"/>
    <n v="-2300"/>
    <n v="-2300"/>
  </r>
  <r>
    <x v="20"/>
    <x v="6"/>
    <x v="8"/>
    <n v="97527.947"/>
    <n v="114665.247"/>
    <n v="114720.247"/>
    <n v="114721.247"/>
  </r>
  <r>
    <x v="1"/>
    <x v="7"/>
    <x v="1"/>
    <m/>
    <m/>
    <m/>
    <m/>
  </r>
  <r>
    <x v="1"/>
    <x v="7"/>
    <x v="1"/>
    <m/>
    <m/>
    <m/>
    <m/>
  </r>
  <r>
    <x v="1"/>
    <x v="7"/>
    <x v="1"/>
    <m/>
    <m/>
    <m/>
    <m/>
  </r>
  <r>
    <x v="21"/>
    <x v="0"/>
    <x v="9"/>
    <n v="3240845.2469999995"/>
    <n v="3223662.1110000005"/>
    <n v="3232715.7110000001"/>
    <n v="3232715.7110000001"/>
  </r>
  <r>
    <x v="21"/>
    <x v="1"/>
    <x v="9"/>
    <n v="4289914.6940000001"/>
    <n v="4286484.387000001"/>
    <n v="4291899.7120000003"/>
    <n v="4291899.7120000003"/>
  </r>
  <r>
    <x v="21"/>
    <x v="2"/>
    <x v="9"/>
    <n v="-270662"/>
    <n v="-254505"/>
    <n v="-243911"/>
    <n v="-232224"/>
  </r>
  <r>
    <x v="21"/>
    <x v="3"/>
    <x v="9"/>
    <n v="-1507"/>
    <n v="-1005"/>
    <n v="486"/>
    <n v="-125"/>
  </r>
  <r>
    <x v="21"/>
    <x v="4"/>
    <x v="9"/>
    <n v="58892"/>
    <n v="82886"/>
    <n v="80577"/>
    <n v="59984"/>
  </r>
  <r>
    <x v="21"/>
    <x v="5"/>
    <x v="9"/>
    <n v="-88754"/>
    <n v="-60374"/>
    <n v="-62674"/>
    <n v="-59549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7">
  <r>
    <x v="0"/>
    <x v="0"/>
    <m/>
    <m/>
    <m/>
    <m/>
  </r>
  <r>
    <x v="0"/>
    <x v="1"/>
    <m/>
    <m/>
    <m/>
    <m/>
  </r>
  <r>
    <x v="0"/>
    <x v="2"/>
    <n v="1.5115083214265676E-2"/>
    <n v="1.7696657843715005E-2"/>
    <n v="1.6857004027220748E-2"/>
    <n v="-1.1527060470307789E-3"/>
  </r>
  <r>
    <x v="0"/>
    <x v="3"/>
    <n v="2.2299218103161611E-4"/>
    <n v="6.3694196519207701E-4"/>
    <n v="6.2605686224056979E-4"/>
    <n v="2.2419603850506892E-4"/>
  </r>
  <r>
    <x v="0"/>
    <x v="4"/>
    <n v="1.7778367187718754E-2"/>
    <n v="1.9347112192709341E-2"/>
    <n v="1.901647719055731E-2"/>
    <n v="1.901647719055731E-2"/>
  </r>
  <r>
    <x v="0"/>
    <x v="5"/>
    <n v="-4.3388808809217756E-2"/>
    <n v="-3.6140001031759912E-2"/>
    <n v="-3.5310876064548358E-2"/>
    <n v="-2.8701323042582882E-2"/>
  </r>
  <r>
    <x v="0"/>
    <x v="6"/>
    <m/>
    <m/>
    <m/>
    <m/>
  </r>
  <r>
    <x v="1"/>
    <x v="7"/>
    <m/>
    <m/>
    <m/>
    <m/>
  </r>
  <r>
    <x v="1"/>
    <x v="7"/>
    <m/>
    <m/>
    <m/>
    <m/>
  </r>
  <r>
    <x v="2"/>
    <x v="0"/>
    <m/>
    <m/>
    <m/>
    <m/>
  </r>
  <r>
    <x v="2"/>
    <x v="1"/>
    <m/>
    <m/>
    <m/>
    <m/>
  </r>
  <r>
    <x v="2"/>
    <x v="2"/>
    <n v="-7.2533791116367194E-2"/>
    <n v="-1.444280041525607E-2"/>
    <n v="2.284992228170184E-4"/>
    <n v="-1.9560736100625285E-2"/>
  </r>
  <r>
    <x v="2"/>
    <x v="3"/>
    <n v="-9.1296718214752808E-3"/>
    <n v="-7.0193198725997602E-3"/>
    <n v="6.7347139356594896E-4"/>
    <n v="-1.7919149578808284E-3"/>
  </r>
  <r>
    <x v="2"/>
    <x v="4"/>
    <n v="1.6588631473154305E-3"/>
    <n v="1.7830617796612432E-3"/>
    <n v="1.8039412327659347E-3"/>
    <n v="1.8039412327659347E-3"/>
  </r>
  <r>
    <x v="2"/>
    <x v="5"/>
    <n v="-9.0390267994969728E-2"/>
    <n v="-8.6805390973174856E-2"/>
    <n v="-8.7821872348488247E-2"/>
    <n v="-8.7821872348488247E-2"/>
  </r>
  <r>
    <x v="2"/>
    <x v="6"/>
    <m/>
    <m/>
    <m/>
    <m/>
  </r>
  <r>
    <x v="1"/>
    <x v="7"/>
    <m/>
    <m/>
    <m/>
    <m/>
  </r>
  <r>
    <x v="1"/>
    <x v="7"/>
    <m/>
    <m/>
    <m/>
    <m/>
  </r>
  <r>
    <x v="3"/>
    <x v="0"/>
    <m/>
    <m/>
    <m/>
    <m/>
  </r>
  <r>
    <x v="3"/>
    <x v="1"/>
    <m/>
    <m/>
    <m/>
    <m/>
  </r>
  <r>
    <x v="3"/>
    <x v="2"/>
    <n v="1.6342509614999334E-2"/>
    <n v="2.0379576352813324E-2"/>
    <n v="1.6672816210064161E-2"/>
    <n v="1.367882003317273E-2"/>
  </r>
  <r>
    <x v="3"/>
    <x v="3"/>
    <n v="-5.1913706001775412E-3"/>
    <n v="-6.0876491862723627E-3"/>
    <n v="-2.4887593220410029E-3"/>
    <n v="-2.245497132668574E-3"/>
  </r>
  <r>
    <x v="3"/>
    <x v="4"/>
    <n v="1.8741410108944192E-3"/>
    <n v="1.8731228265453422E-3"/>
    <n v="1.8712476105571449E-3"/>
    <n v="1.8712476105571449E-3"/>
  </r>
  <r>
    <x v="3"/>
    <x v="5"/>
    <n v="-6.7469076392199095E-3"/>
    <n v="-6.7432421755632323E-3"/>
    <n v="-6.736491398005722E-3"/>
    <n v="-6.736491398005722E-3"/>
  </r>
  <r>
    <x v="3"/>
    <x v="6"/>
    <m/>
    <m/>
    <m/>
    <m/>
  </r>
  <r>
    <x v="1"/>
    <x v="7"/>
    <m/>
    <m/>
    <m/>
    <m/>
  </r>
  <r>
    <x v="1"/>
    <x v="7"/>
    <m/>
    <m/>
    <m/>
    <m/>
  </r>
  <r>
    <x v="4"/>
    <x v="0"/>
    <m/>
    <m/>
    <m/>
    <m/>
  </r>
  <r>
    <x v="4"/>
    <x v="1"/>
    <m/>
    <m/>
    <m/>
    <m/>
  </r>
  <r>
    <x v="4"/>
    <x v="2"/>
    <n v="-6.9707471020122938E-2"/>
    <n v="-7.0475684040107039E-2"/>
    <n v="-7.0403188401614886E-2"/>
    <n v="-7.0403188401614886E-2"/>
  </r>
  <r>
    <x v="4"/>
    <x v="3"/>
    <n v="0"/>
    <n v="0"/>
    <n v="0"/>
    <n v="0"/>
  </r>
  <r>
    <x v="4"/>
    <x v="4"/>
    <n v="0.20797496497773305"/>
    <n v="0.21026695855587493"/>
    <n v="0.21026698904704755"/>
    <n v="0.21026698904704755"/>
  </r>
  <r>
    <x v="4"/>
    <x v="5"/>
    <n v="-1.4343101032947106E-2"/>
    <n v="-1.4501169555577582E-2"/>
    <n v="-1.4501171658417071E-2"/>
    <n v="-1.4501171658417071E-2"/>
  </r>
  <r>
    <x v="4"/>
    <x v="6"/>
    <m/>
    <m/>
    <m/>
    <m/>
  </r>
  <r>
    <x v="1"/>
    <x v="7"/>
    <m/>
    <m/>
    <m/>
    <m/>
  </r>
  <r>
    <x v="1"/>
    <x v="7"/>
    <m/>
    <m/>
    <m/>
    <m/>
  </r>
  <r>
    <x v="5"/>
    <x v="0"/>
    <m/>
    <m/>
    <m/>
    <m/>
  </r>
  <r>
    <x v="5"/>
    <x v="1"/>
    <m/>
    <m/>
    <m/>
    <m/>
  </r>
  <r>
    <x v="5"/>
    <x v="2"/>
    <n v="-8.5500742396690074E-2"/>
    <n v="-7.1455899056633257E-2"/>
    <n v="-7.1455899056633257E-2"/>
    <n v="-7.1455899056633257E-2"/>
  </r>
  <r>
    <x v="5"/>
    <x v="3"/>
    <n v="0"/>
    <n v="0"/>
    <n v="0"/>
    <n v="0"/>
  </r>
  <r>
    <x v="5"/>
    <x v="4"/>
    <n v="0"/>
    <n v="0"/>
    <n v="0"/>
    <n v="0"/>
  </r>
  <r>
    <x v="5"/>
    <x v="5"/>
    <n v="-8.0436238491659665E-3"/>
    <n v="-8.0387886438712426E-3"/>
    <n v="-8.0387886438712426E-3"/>
    <n v="-8.0387886438712426E-3"/>
  </r>
  <r>
    <x v="5"/>
    <x v="6"/>
    <m/>
    <m/>
    <m/>
    <m/>
  </r>
  <r>
    <x v="1"/>
    <x v="7"/>
    <m/>
    <m/>
    <m/>
    <m/>
  </r>
  <r>
    <x v="1"/>
    <x v="7"/>
    <m/>
    <m/>
    <m/>
    <m/>
  </r>
  <r>
    <x v="6"/>
    <x v="0"/>
    <m/>
    <m/>
    <m/>
    <m/>
  </r>
  <r>
    <x v="6"/>
    <x v="1"/>
    <m/>
    <m/>
    <m/>
    <m/>
  </r>
  <r>
    <x v="6"/>
    <x v="2"/>
    <n v="-223.7626954699339"/>
    <n v="-224.79365593138047"/>
    <n v="-228.61842105263159"/>
    <n v="-228.78289473684211"/>
  </r>
  <r>
    <x v="6"/>
    <x v="3"/>
    <n v="0"/>
    <n v="0"/>
    <n v="0"/>
    <n v="0"/>
  </r>
  <r>
    <x v="6"/>
    <x v="4"/>
    <n v="0"/>
    <n v="0"/>
    <n v="0"/>
    <n v="0"/>
  </r>
  <r>
    <x v="6"/>
    <x v="5"/>
    <n v="0"/>
    <n v="0"/>
    <n v="0"/>
    <n v="0"/>
  </r>
  <r>
    <x v="6"/>
    <x v="6"/>
    <m/>
    <m/>
    <m/>
    <m/>
  </r>
  <r>
    <x v="1"/>
    <x v="7"/>
    <m/>
    <m/>
    <m/>
    <m/>
  </r>
  <r>
    <x v="1"/>
    <x v="7"/>
    <m/>
    <m/>
    <m/>
    <m/>
  </r>
  <r>
    <x v="7"/>
    <x v="0"/>
    <m/>
    <m/>
    <m/>
    <m/>
  </r>
  <r>
    <x v="7"/>
    <x v="1"/>
    <m/>
    <m/>
    <m/>
    <m/>
  </r>
  <r>
    <x v="7"/>
    <x v="2"/>
    <n v="-0.11565166045649827"/>
    <n v="-0.11565166045649827"/>
    <n v="-0.11565166045649827"/>
    <n v="-0.11565166045649827"/>
  </r>
  <r>
    <x v="7"/>
    <x v="3"/>
    <n v="0"/>
    <n v="0"/>
    <n v="0"/>
    <n v="0"/>
  </r>
  <r>
    <x v="7"/>
    <x v="4"/>
    <n v="5.2124692036731618E-2"/>
    <n v="8.1444831307393148E-2"/>
    <n v="8.1444831307393148E-2"/>
    <n v="8.1444831307393148E-2"/>
  </r>
  <r>
    <x v="7"/>
    <x v="5"/>
    <n v="-1.3031173009182904E-2"/>
    <n v="-1.3031173009182904E-2"/>
    <n v="-1.3031173009182904E-2"/>
    <n v="-1.3031173009182904E-2"/>
  </r>
  <r>
    <x v="7"/>
    <x v="6"/>
    <m/>
    <m/>
    <m/>
    <m/>
  </r>
  <r>
    <x v="1"/>
    <x v="7"/>
    <m/>
    <m/>
    <m/>
    <m/>
  </r>
  <r>
    <x v="1"/>
    <x v="7"/>
    <m/>
    <m/>
    <m/>
    <m/>
  </r>
  <r>
    <x v="8"/>
    <x v="0"/>
    <m/>
    <m/>
    <m/>
    <m/>
  </r>
  <r>
    <x v="8"/>
    <x v="1"/>
    <m/>
    <m/>
    <m/>
    <m/>
  </r>
  <r>
    <x v="8"/>
    <x v="2"/>
    <n v="-0.97610249202114929"/>
    <n v="0.12405947801817187"/>
    <n v="-1.2594870864789023"/>
    <n v="0.26827074942000617"/>
  </r>
  <r>
    <x v="8"/>
    <x v="3"/>
    <n v="0"/>
    <n v="0"/>
    <n v="0"/>
    <n v="0"/>
  </r>
  <r>
    <x v="8"/>
    <x v="4"/>
    <n v="0"/>
    <n v="0"/>
    <n v="0"/>
    <n v="0"/>
  </r>
  <r>
    <x v="8"/>
    <x v="5"/>
    <n v="-3.1487177161972559E-2"/>
    <n v="-3.1487177161972559E-2"/>
    <n v="-3.1487177161972559E-2"/>
    <n v="-3.1487177161972559E-2"/>
  </r>
  <r>
    <x v="8"/>
    <x v="6"/>
    <m/>
    <m/>
    <m/>
    <m/>
  </r>
  <r>
    <x v="1"/>
    <x v="7"/>
    <m/>
    <m/>
    <m/>
    <m/>
  </r>
  <r>
    <x v="1"/>
    <x v="7"/>
    <m/>
    <m/>
    <m/>
    <m/>
  </r>
  <r>
    <x v="9"/>
    <x v="0"/>
    <m/>
    <m/>
    <m/>
    <m/>
  </r>
  <r>
    <x v="9"/>
    <x v="1"/>
    <m/>
    <m/>
    <m/>
    <m/>
  </r>
  <r>
    <x v="9"/>
    <x v="2"/>
    <n v="-4.4505185555226276E-3"/>
    <n v="-3.1785264271212607E-4"/>
    <n v="1.1850871814858904E-3"/>
    <n v="1.1467702749251457E-3"/>
  </r>
  <r>
    <x v="9"/>
    <x v="3"/>
    <n v="0"/>
    <n v="0"/>
    <n v="0"/>
    <n v="0"/>
  </r>
  <r>
    <x v="9"/>
    <x v="4"/>
    <n v="3.0856751938558014E-2"/>
    <n v="5.8697685909660499E-2"/>
    <n v="5.7073032322229267E-2"/>
    <n v="3.8869764783978328E-2"/>
  </r>
  <r>
    <x v="9"/>
    <x v="5"/>
    <n v="-1.7385914952753372E-2"/>
    <n v="-1.7667758335159617E-2"/>
    <n v="-1.7951470723708902E-2"/>
    <n v="-1.7951470723708902E-2"/>
  </r>
  <r>
    <x v="9"/>
    <x v="6"/>
    <m/>
    <m/>
    <m/>
    <m/>
  </r>
  <r>
    <x v="1"/>
    <x v="7"/>
    <m/>
    <m/>
    <m/>
    <m/>
  </r>
  <r>
    <x v="1"/>
    <x v="7"/>
    <m/>
    <m/>
    <m/>
    <m/>
  </r>
  <r>
    <x v="10"/>
    <x v="0"/>
    <m/>
    <m/>
    <m/>
    <m/>
  </r>
  <r>
    <x v="10"/>
    <x v="1"/>
    <m/>
    <m/>
    <m/>
    <m/>
  </r>
  <r>
    <x v="10"/>
    <x v="2"/>
    <m/>
    <m/>
    <m/>
    <m/>
  </r>
  <r>
    <x v="10"/>
    <x v="3"/>
    <m/>
    <m/>
    <m/>
    <m/>
  </r>
  <r>
    <x v="10"/>
    <x v="4"/>
    <m/>
    <m/>
    <m/>
    <m/>
  </r>
  <r>
    <x v="10"/>
    <x v="5"/>
    <m/>
    <m/>
    <m/>
    <m/>
  </r>
  <r>
    <x v="10"/>
    <x v="6"/>
    <m/>
    <m/>
    <m/>
    <m/>
  </r>
  <r>
    <x v="1"/>
    <x v="7"/>
    <m/>
    <m/>
    <m/>
    <m/>
  </r>
  <r>
    <x v="1"/>
    <x v="7"/>
    <m/>
    <m/>
    <m/>
    <m/>
  </r>
  <r>
    <x v="11"/>
    <x v="0"/>
    <m/>
    <m/>
    <m/>
    <m/>
  </r>
  <r>
    <x v="11"/>
    <x v="1"/>
    <m/>
    <m/>
    <m/>
    <m/>
  </r>
  <r>
    <x v="11"/>
    <x v="2"/>
    <n v="2.14612263345417E-2"/>
    <n v="1.8676419294904201E-2"/>
    <n v="2.6850381043469911E-2"/>
    <n v="3.7463109137036307E-2"/>
  </r>
  <r>
    <x v="11"/>
    <x v="3"/>
    <n v="0"/>
    <n v="0"/>
    <n v="0"/>
    <n v="0"/>
  </r>
  <r>
    <x v="11"/>
    <x v="4"/>
    <n v="3.351561257968037E-3"/>
    <n v="3.2482307168556664E-3"/>
    <n v="3.203504770233363E-3"/>
    <n v="3.4826928954604045E-3"/>
  </r>
  <r>
    <x v="11"/>
    <x v="5"/>
    <n v="-4.1623020538899139E-3"/>
    <n v="-4.0103854101961019E-3"/>
    <n v="-3.9551651073830903E-3"/>
    <n v="-3.9551651073830903E-3"/>
  </r>
  <r>
    <x v="11"/>
    <x v="6"/>
    <m/>
    <m/>
    <m/>
    <m/>
  </r>
  <r>
    <x v="1"/>
    <x v="7"/>
    <m/>
    <m/>
    <m/>
    <m/>
  </r>
  <r>
    <x v="1"/>
    <x v="7"/>
    <m/>
    <m/>
    <m/>
    <m/>
  </r>
  <r>
    <x v="12"/>
    <x v="0"/>
    <m/>
    <m/>
    <m/>
    <m/>
  </r>
  <r>
    <x v="12"/>
    <x v="1"/>
    <m/>
    <m/>
    <m/>
    <m/>
  </r>
  <r>
    <x v="12"/>
    <x v="2"/>
    <n v="-3.5040759449856642"/>
    <n v="-3.5077295631879695"/>
    <n v="-3.5077212811433136"/>
    <n v="-3.5077212811433136"/>
  </r>
  <r>
    <x v="12"/>
    <x v="3"/>
    <n v="0"/>
    <n v="0"/>
    <n v="0"/>
    <n v="0"/>
  </r>
  <r>
    <x v="12"/>
    <x v="4"/>
    <n v="0"/>
    <n v="0"/>
    <n v="0"/>
    <n v="0"/>
  </r>
  <r>
    <x v="12"/>
    <x v="5"/>
    <n v="-3.6424779661044113E-2"/>
    <n v="-3.6495637767656727E-2"/>
    <n v="-3.6495678169625928E-2"/>
    <n v="-3.6495678169625928E-2"/>
  </r>
  <r>
    <x v="12"/>
    <x v="6"/>
    <m/>
    <m/>
    <m/>
    <m/>
  </r>
  <r>
    <x v="1"/>
    <x v="7"/>
    <m/>
    <m/>
    <m/>
    <m/>
  </r>
  <r>
    <x v="1"/>
    <x v="7"/>
    <m/>
    <m/>
    <m/>
    <m/>
  </r>
  <r>
    <x v="13"/>
    <x v="0"/>
    <m/>
    <m/>
    <m/>
    <m/>
  </r>
  <r>
    <x v="13"/>
    <x v="1"/>
    <m/>
    <m/>
    <m/>
    <m/>
  </r>
  <r>
    <x v="13"/>
    <x v="2"/>
    <n v="-0.1013172060673332"/>
    <n v="-8.8917706528726465E-2"/>
    <n v="-8.7620092461236448E-2"/>
    <n v="-8.7620092461236448E-2"/>
  </r>
  <r>
    <x v="13"/>
    <x v="3"/>
    <n v="0"/>
    <n v="0"/>
    <n v="0"/>
    <n v="0"/>
  </r>
  <r>
    <x v="13"/>
    <x v="4"/>
    <n v="2.0597114467845743E-3"/>
    <n v="2.059710598302675E-3"/>
    <n v="2.0597106831508334E-3"/>
    <n v="2.0597106831508334E-3"/>
  </r>
  <r>
    <x v="13"/>
    <x v="5"/>
    <n v="-9.1966116098931239E-2"/>
    <n v="-4.5622589752404248E-2"/>
    <n v="-4.5622591631790957E-2"/>
    <n v="-4.5622591631790957E-2"/>
  </r>
  <r>
    <x v="13"/>
    <x v="6"/>
    <m/>
    <m/>
    <m/>
    <m/>
  </r>
  <r>
    <x v="14"/>
    <x v="8"/>
    <m/>
    <m/>
    <m/>
    <m/>
  </r>
  <r>
    <x v="14"/>
    <x v="8"/>
    <m/>
    <m/>
    <m/>
    <m/>
  </r>
  <r>
    <x v="15"/>
    <x v="0"/>
    <m/>
    <m/>
    <m/>
    <m/>
  </r>
  <r>
    <x v="15"/>
    <x v="1"/>
    <m/>
    <m/>
    <m/>
    <m/>
  </r>
  <r>
    <x v="15"/>
    <x v="2"/>
    <n v="4.8658987904700947E-2"/>
    <n v="3.5019501188822723E-2"/>
    <n v="3.3095177557785981E-2"/>
    <n v="3.5614819660474036E-2"/>
  </r>
  <r>
    <x v="15"/>
    <x v="3"/>
    <n v="8.8437619029601877E-5"/>
    <n v="8.8579636674736932E-5"/>
    <n v="8.8784472634208459E-5"/>
    <n v="0"/>
  </r>
  <r>
    <x v="15"/>
    <x v="4"/>
    <n v="2.9641850240266557E-2"/>
    <n v="3.7854049562414303E-2"/>
    <n v="2.6721064729357636E-2"/>
    <n v="7.3170651584744213E-3"/>
  </r>
  <r>
    <x v="15"/>
    <x v="5"/>
    <n v="0"/>
    <n v="0"/>
    <n v="0"/>
    <n v="0"/>
  </r>
  <r>
    <x v="15"/>
    <x v="6"/>
    <m/>
    <m/>
    <m/>
    <m/>
  </r>
  <r>
    <x v="1"/>
    <x v="7"/>
    <m/>
    <m/>
    <m/>
    <m/>
  </r>
  <r>
    <x v="1"/>
    <x v="7"/>
    <m/>
    <m/>
    <m/>
    <m/>
  </r>
  <r>
    <x v="16"/>
    <x v="0"/>
    <m/>
    <m/>
    <m/>
    <m/>
  </r>
  <r>
    <x v="16"/>
    <x v="1"/>
    <m/>
    <m/>
    <m/>
    <m/>
  </r>
  <r>
    <x v="16"/>
    <x v="2"/>
    <n v="-5.1299611072581118E-3"/>
    <n v="-4.3615951281794881E-3"/>
    <n v="-8.6604881398680347E-3"/>
    <n v="-1.0220807490687234E-2"/>
  </r>
  <r>
    <x v="16"/>
    <x v="3"/>
    <n v="2.0278231458463518E-4"/>
    <n v="2.0383987838028101E-4"/>
    <n v="2.1042838951414893E-4"/>
    <n v="2.175858177289159E-4"/>
  </r>
  <r>
    <x v="16"/>
    <x v="4"/>
    <n v="1.605863350817047E-2"/>
    <n v="2.3129320668128481E-2"/>
    <n v="2.2855099775393888E-2"/>
    <n v="1.9063094307210347E-2"/>
  </r>
  <r>
    <x v="16"/>
    <x v="5"/>
    <n v="-1.2536549193150816E-2"/>
    <n v="-1.4456728963140498E-2"/>
    <n v="-1.431485642953394E-2"/>
    <n v="-1.431485642953394E-2"/>
  </r>
  <r>
    <x v="16"/>
    <x v="6"/>
    <m/>
    <m/>
    <m/>
    <m/>
  </r>
  <r>
    <x v="1"/>
    <x v="7"/>
    <m/>
    <m/>
    <m/>
    <m/>
  </r>
  <r>
    <x v="1"/>
    <x v="7"/>
    <m/>
    <m/>
    <m/>
    <m/>
  </r>
  <r>
    <x v="17"/>
    <x v="0"/>
    <m/>
    <m/>
    <m/>
    <m/>
  </r>
  <r>
    <x v="17"/>
    <x v="1"/>
    <m/>
    <m/>
    <m/>
    <m/>
  </r>
  <r>
    <x v="17"/>
    <x v="2"/>
    <n v="4.4345905481845242E-2"/>
    <n v="1.613258310846848E-2"/>
    <n v="1.613258310846848E-2"/>
    <n v="1.6295538493402505E-2"/>
  </r>
  <r>
    <x v="17"/>
    <x v="3"/>
    <n v="0"/>
    <n v="0"/>
    <n v="0"/>
    <n v="0"/>
  </r>
  <r>
    <x v="17"/>
    <x v="4"/>
    <n v="0"/>
    <n v="0"/>
    <n v="0"/>
    <n v="0"/>
  </r>
  <r>
    <x v="17"/>
    <x v="5"/>
    <n v="0"/>
    <n v="0"/>
    <n v="0"/>
    <n v="0"/>
  </r>
  <r>
    <x v="17"/>
    <x v="6"/>
    <m/>
    <m/>
    <m/>
    <m/>
  </r>
  <r>
    <x v="1"/>
    <x v="7"/>
    <m/>
    <m/>
    <m/>
    <m/>
  </r>
  <r>
    <x v="1"/>
    <x v="7"/>
    <m/>
    <m/>
    <m/>
    <m/>
  </r>
  <r>
    <x v="18"/>
    <x v="0"/>
    <m/>
    <m/>
    <m/>
    <m/>
  </r>
  <r>
    <x v="18"/>
    <x v="1"/>
    <m/>
    <m/>
    <m/>
    <m/>
  </r>
  <r>
    <x v="18"/>
    <x v="2"/>
    <n v="3.6699044703553244E-2"/>
    <n v="3.9744596706278855E-2"/>
    <n v="4.5201455628492149E-2"/>
    <n v="4.4840369200087347E-2"/>
  </r>
  <r>
    <x v="18"/>
    <x v="3"/>
    <n v="0"/>
    <n v="0"/>
    <n v="0"/>
    <n v="0"/>
  </r>
  <r>
    <x v="18"/>
    <x v="4"/>
    <n v="5.5048567055329865E-2"/>
    <n v="8.2140664952243786E-2"/>
    <n v="9.5026693314219826E-2"/>
    <n v="7.1058995449584134E-2"/>
  </r>
  <r>
    <x v="18"/>
    <x v="5"/>
    <n v="-1.137534964980986E-2"/>
    <n v="-1.653162738906172E-2"/>
    <n v="-1.8804630881860514E-2"/>
    <n v="-1.8804630881860514E-2"/>
  </r>
  <r>
    <x v="18"/>
    <x v="6"/>
    <m/>
    <m/>
    <m/>
    <m/>
  </r>
  <r>
    <x v="1"/>
    <x v="7"/>
    <m/>
    <m/>
    <m/>
    <m/>
  </r>
  <r>
    <x v="1"/>
    <x v="7"/>
    <m/>
    <m/>
    <m/>
    <m/>
  </r>
  <r>
    <x v="19"/>
    <x v="0"/>
    <m/>
    <m/>
    <m/>
    <m/>
  </r>
  <r>
    <x v="19"/>
    <x v="1"/>
    <m/>
    <m/>
    <m/>
    <m/>
  </r>
  <r>
    <x v="19"/>
    <x v="2"/>
    <n v="-3.0679302760205945E-2"/>
    <n v="-8.4663814858986842E-4"/>
    <n v="-8.563908928751054E-4"/>
    <n v="-8.563908928751054E-4"/>
  </r>
  <r>
    <x v="19"/>
    <x v="3"/>
    <n v="3.2958121442824064E-4"/>
    <n v="3.6136994147128527E-4"/>
    <n v="3.6112868976661069E-4"/>
    <n v="3.6112868976661069E-4"/>
  </r>
  <r>
    <x v="19"/>
    <x v="4"/>
    <n v="4.5670539713627634E-3"/>
    <n v="5.0075549032449537E-3"/>
    <n v="5.0042118439087482E-3"/>
    <n v="5.0042118439087482E-3"/>
  </r>
  <r>
    <x v="19"/>
    <x v="5"/>
    <n v="-4.508671013378332E-2"/>
    <n v="1.7046336381974059E-2"/>
    <n v="-3.6009689351013466E-3"/>
    <n v="-3.6009689351013466E-3"/>
  </r>
  <r>
    <x v="19"/>
    <x v="6"/>
    <m/>
    <m/>
    <m/>
    <m/>
  </r>
  <r>
    <x v="1"/>
    <x v="7"/>
    <m/>
    <m/>
    <m/>
    <m/>
  </r>
  <r>
    <x v="1"/>
    <x v="7"/>
    <m/>
    <m/>
    <m/>
    <m/>
  </r>
  <r>
    <x v="20"/>
    <x v="0"/>
    <m/>
    <m/>
    <m/>
    <m/>
  </r>
  <r>
    <x v="20"/>
    <x v="1"/>
    <m/>
    <m/>
    <m/>
    <m/>
  </r>
  <r>
    <x v="20"/>
    <x v="2"/>
    <n v="3.8201400372690271E-2"/>
    <n v="3.8207764432942541E-2"/>
    <n v="3.8207764432942541E-2"/>
    <n v="3.8207764432942541E-2"/>
  </r>
  <r>
    <x v="20"/>
    <x v="3"/>
    <n v="0"/>
    <n v="0"/>
    <n v="0"/>
    <n v="0"/>
  </r>
  <r>
    <x v="20"/>
    <x v="4"/>
    <n v="0"/>
    <n v="0"/>
    <n v="0"/>
    <n v="0"/>
  </r>
  <r>
    <x v="20"/>
    <x v="5"/>
    <n v="-1.262588656385526E-2"/>
    <n v="-1.2627989939701347E-2"/>
    <n v="-1.2627989939701347E-2"/>
    <n v="-1.2627989939701347E-2"/>
  </r>
  <r>
    <x v="20"/>
    <x v="6"/>
    <m/>
    <m/>
    <m/>
    <m/>
  </r>
  <r>
    <x v="1"/>
    <x v="7"/>
    <m/>
    <m/>
    <m/>
    <m/>
  </r>
  <r>
    <x v="1"/>
    <x v="7"/>
    <m/>
    <m/>
    <m/>
    <m/>
  </r>
  <r>
    <x v="21"/>
    <x v="0"/>
    <m/>
    <m/>
    <m/>
    <m/>
  </r>
  <r>
    <x v="21"/>
    <x v="1"/>
    <m/>
    <m/>
    <m/>
    <m/>
  </r>
  <r>
    <x v="21"/>
    <x v="2"/>
    <n v="-4.3170002273082968E-3"/>
    <n v="-5.7124764233899492E-3"/>
    <n v="-5.2449374304041644E-3"/>
    <n v="-5.2364367214407861E-3"/>
  </r>
  <r>
    <x v="21"/>
    <x v="3"/>
    <n v="0"/>
    <n v="0"/>
    <n v="0"/>
    <n v="0"/>
  </r>
  <r>
    <x v="21"/>
    <x v="4"/>
    <n v="0"/>
    <n v="0"/>
    <n v="0"/>
    <n v="0"/>
  </r>
  <r>
    <x v="21"/>
    <x v="5"/>
    <n v="-0.16851567292021327"/>
    <n v="-1.9551630615769169E-2"/>
    <n v="-1.9551630615769169E-2"/>
    <n v="-1.9551630615769169E-2"/>
  </r>
  <r>
    <x v="21"/>
    <x v="6"/>
    <m/>
    <m/>
    <m/>
    <m/>
  </r>
  <r>
    <x v="1"/>
    <x v="7"/>
    <m/>
    <m/>
    <m/>
    <m/>
  </r>
  <r>
    <x v="1"/>
    <x v="7"/>
    <m/>
    <m/>
    <m/>
    <m/>
  </r>
  <r>
    <x v="1"/>
    <x v="7"/>
    <m/>
    <m/>
    <m/>
    <m/>
  </r>
  <r>
    <x v="22"/>
    <x v="0"/>
    <m/>
    <m/>
    <m/>
    <m/>
  </r>
  <r>
    <x v="22"/>
    <x v="1"/>
    <m/>
    <m/>
    <m/>
    <m/>
  </r>
  <r>
    <x v="22"/>
    <x v="2"/>
    <n v="-8.3515866809915601E-2"/>
    <n v="-7.8949031020205437E-2"/>
    <n v="-7.5450804155169332E-2"/>
    <n v="-7.1835577502162851E-2"/>
  </r>
  <r>
    <x v="22"/>
    <x v="3"/>
    <n v="-4.650021476326297E-4"/>
    <n v="-3.1175723924994192E-4"/>
    <n v="1.5033799549594851E-4"/>
    <n v="-3.8667179911509391E-5"/>
  </r>
  <r>
    <x v="22"/>
    <x v="4"/>
    <n v="1.817180257357719E-2"/>
    <n v="2.5711751773602673E-2"/>
    <n v="2.4925482845837538E-2"/>
    <n v="1.8555296958495834E-2"/>
  </r>
  <r>
    <x v="22"/>
    <x v="5"/>
    <n v="-2.738606543529291E-2"/>
    <n v="-1.8728389614403974E-2"/>
    <n v="-1.9387414670191516E-2"/>
    <n v="-1.8420735172403783E-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1000000}" name="Pivottabel1" cacheId="4" applyNumberFormats="0" applyBorderFormats="0" applyFontFormats="0" applyPatternFormats="0" applyAlignmentFormats="0" applyWidthHeightFormats="1" dataCaption="Værdier" updatedVersion="8" minRefreshableVersion="3" useAutoFormatting="1" rowGrandTotals="0" itemPrintTitles="1" createdVersion="6" indent="0" outline="1" outlineData="1" multipleFieldFilters="0" chartFormat="3">
  <location ref="A208:E268" firstHeaderRow="0" firstDataRow="1" firstDataCol="1"/>
  <pivotFields count="7">
    <pivotField axis="axisRow" showAll="0" sortType="ascending">
      <items count="32">
        <item x="0"/>
        <item x="2"/>
        <item x="3"/>
        <item x="4"/>
        <item x="5"/>
        <item m="1" x="29"/>
        <item x="6"/>
        <item x="7"/>
        <item m="1" x="22"/>
        <item m="1" x="28"/>
        <item x="8"/>
        <item m="1" x="23"/>
        <item m="1" x="24"/>
        <item x="9"/>
        <item h="1" x="10"/>
        <item h="1" m="1" x="25"/>
        <item x="11"/>
        <item x="12"/>
        <item m="1" x="30"/>
        <item x="13"/>
        <item x="14"/>
        <item x="15"/>
        <item x="16"/>
        <item x="17"/>
        <item m="1" x="26"/>
        <item x="18"/>
        <item x="19"/>
        <item m="1" x="27"/>
        <item x="20"/>
        <item x="21"/>
        <item x="1"/>
        <item t="default"/>
      </items>
    </pivotField>
    <pivotField axis="axisRow" showAll="0">
      <items count="9">
        <item h="1" x="3"/>
        <item x="4"/>
        <item x="5"/>
        <item h="1" x="2"/>
        <item h="1" x="7"/>
        <item h="1" x="6"/>
        <item h="1" x="0"/>
        <item h="1" x="1"/>
        <item t="default"/>
      </items>
    </pivotField>
    <pivotField showAll="0" defaultSubtotal="0"/>
    <pivotField dataField="1" showAll="0" defaultSubtotal="0"/>
    <pivotField dataField="1" showAll="0" defaultSubtotal="0"/>
    <pivotField dataField="1" showAll="0"/>
    <pivotField dataField="1" showAll="0"/>
  </pivotFields>
  <rowFields count="2">
    <field x="0"/>
    <field x="1"/>
  </rowFields>
  <rowItems count="60">
    <i>
      <x/>
    </i>
    <i r="1">
      <x v="1"/>
    </i>
    <i r="1">
      <x v="2"/>
    </i>
    <i>
      <x v="1"/>
    </i>
    <i r="1">
      <x v="1"/>
    </i>
    <i r="1">
      <x v="2"/>
    </i>
    <i>
      <x v="2"/>
    </i>
    <i r="1">
      <x v="1"/>
    </i>
    <i r="1">
      <x v="2"/>
    </i>
    <i>
      <x v="3"/>
    </i>
    <i r="1">
      <x v="1"/>
    </i>
    <i r="1">
      <x v="2"/>
    </i>
    <i>
      <x v="4"/>
    </i>
    <i r="1">
      <x v="1"/>
    </i>
    <i r="1">
      <x v="2"/>
    </i>
    <i>
      <x v="6"/>
    </i>
    <i r="1">
      <x v="1"/>
    </i>
    <i r="1">
      <x v="2"/>
    </i>
    <i>
      <x v="7"/>
    </i>
    <i r="1">
      <x v="1"/>
    </i>
    <i r="1">
      <x v="2"/>
    </i>
    <i>
      <x v="10"/>
    </i>
    <i r="1">
      <x v="1"/>
    </i>
    <i r="1">
      <x v="2"/>
    </i>
    <i>
      <x v="13"/>
    </i>
    <i r="1">
      <x v="1"/>
    </i>
    <i r="1">
      <x v="2"/>
    </i>
    <i>
      <x v="16"/>
    </i>
    <i r="1">
      <x v="1"/>
    </i>
    <i r="1">
      <x v="2"/>
    </i>
    <i>
      <x v="17"/>
    </i>
    <i r="1">
      <x v="1"/>
    </i>
    <i r="1">
      <x v="2"/>
    </i>
    <i>
      <x v="19"/>
    </i>
    <i r="1">
      <x v="1"/>
    </i>
    <i r="1">
      <x v="2"/>
    </i>
    <i>
      <x v="20"/>
    </i>
    <i r="1">
      <x v="1"/>
    </i>
    <i r="1">
      <x v="2"/>
    </i>
    <i>
      <x v="21"/>
    </i>
    <i r="1">
      <x v="1"/>
    </i>
    <i r="1">
      <x v="2"/>
    </i>
    <i>
      <x v="22"/>
    </i>
    <i r="1">
      <x v="1"/>
    </i>
    <i r="1">
      <x v="2"/>
    </i>
    <i>
      <x v="23"/>
    </i>
    <i r="1">
      <x v="1"/>
    </i>
    <i r="1">
      <x v="2"/>
    </i>
    <i>
      <x v="25"/>
    </i>
    <i r="1">
      <x v="1"/>
    </i>
    <i r="1">
      <x v="2"/>
    </i>
    <i>
      <x v="26"/>
    </i>
    <i r="1">
      <x v="1"/>
    </i>
    <i r="1">
      <x v="2"/>
    </i>
    <i>
      <x v="28"/>
    </i>
    <i r="1">
      <x v="1"/>
    </i>
    <i r="1">
      <x v="2"/>
    </i>
    <i>
      <x v="29"/>
    </i>
    <i r="1">
      <x v="1"/>
    </i>
    <i r="1">
      <x v="2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af 2027" fld="3" baseField="1" baseItem="1" numFmtId="3"/>
    <dataField name="Sum af 2028" fld="4" baseField="0" baseItem="7" numFmtId="3"/>
    <dataField name="Sum af 2029" fld="5" baseField="1" baseItem="2" numFmtId="3"/>
    <dataField name="Sum af 2030" fld="6" baseField="0" baseItem="0"/>
  </dataFields>
  <formats count="4">
    <format dxfId="29">
      <pivotArea field="0" type="button" dataOnly="0" labelOnly="1" outline="0" axis="axisRow" fieldPosition="0"/>
    </format>
    <format dxfId="28">
      <pivotArea outline="0" fieldPosition="0">
        <references count="1">
          <reference field="4294967294" count="1">
            <x v="0"/>
          </reference>
        </references>
      </pivotArea>
    </format>
    <format dxfId="27">
      <pivotArea outline="0" fieldPosition="0">
        <references count="1">
          <reference field="4294967294" count="1">
            <x v="1"/>
          </reference>
        </references>
      </pivotArea>
    </format>
    <format dxfId="26">
      <pivotArea outline="0" fieldPosition="0">
        <references count="1">
          <reference field="4294967294" count="1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el2" cacheId="5" applyNumberFormats="0" applyBorderFormats="0" applyFontFormats="0" applyPatternFormats="0" applyAlignmentFormats="0" applyWidthHeightFormats="1" dataCaption="Værdier" updatedVersion="8" minRefreshableVersion="3" useAutoFormatting="1" rowGrandTotals="0" itemPrintTitles="1" createdVersion="6" indent="0" outline="1" outlineData="1" multipleFieldFilters="0">
  <location ref="H208:L268" firstHeaderRow="0" firstDataRow="1" firstDataCol="1"/>
  <pivotFields count="6">
    <pivotField axis="axisRow" showAll="0" sortType="ascending">
      <items count="24">
        <item x="1"/>
        <item x="0"/>
        <item x="2"/>
        <item x="3"/>
        <item x="4"/>
        <item x="5"/>
        <item x="6"/>
        <item x="7"/>
        <item x="8"/>
        <item x="9"/>
        <item h="1" x="10"/>
        <item x="11"/>
        <item x="12"/>
        <item x="13"/>
        <item x="15"/>
        <item x="16"/>
        <item x="17"/>
        <item x="18"/>
        <item x="19"/>
        <item x="20"/>
        <item x="21"/>
        <item x="22"/>
        <item x="14"/>
        <item t="default"/>
      </items>
    </pivotField>
    <pivotField axis="axisRow" showAll="0" defaultSubtotal="0">
      <items count="9">
        <item h="1" x="7"/>
        <item h="1" x="3"/>
        <item x="4"/>
        <item h="1" x="1"/>
        <item x="5"/>
        <item h="1" x="0"/>
        <item h="1" x="2"/>
        <item h="1" x="6"/>
        <item h="1" x="8"/>
      </items>
    </pivotField>
    <pivotField dataField="1" showAll="0" defaultSubtotal="0"/>
    <pivotField dataField="1" showAll="0" defaultSubtotal="0"/>
    <pivotField dataField="1" showAll="0"/>
    <pivotField dataField="1" showAll="0"/>
  </pivotFields>
  <rowFields count="2">
    <field x="0"/>
    <field x="1"/>
  </rowFields>
  <rowItems count="60">
    <i>
      <x v="1"/>
    </i>
    <i r="1">
      <x v="2"/>
    </i>
    <i r="1">
      <x v="4"/>
    </i>
    <i>
      <x v="2"/>
    </i>
    <i r="1">
      <x v="2"/>
    </i>
    <i r="1">
      <x v="4"/>
    </i>
    <i>
      <x v="3"/>
    </i>
    <i r="1">
      <x v="2"/>
    </i>
    <i r="1">
      <x v="4"/>
    </i>
    <i>
      <x v="4"/>
    </i>
    <i r="1">
      <x v="2"/>
    </i>
    <i r="1">
      <x v="4"/>
    </i>
    <i>
      <x v="5"/>
    </i>
    <i r="1">
      <x v="2"/>
    </i>
    <i r="1">
      <x v="4"/>
    </i>
    <i>
      <x v="6"/>
    </i>
    <i r="1">
      <x v="2"/>
    </i>
    <i r="1">
      <x v="4"/>
    </i>
    <i>
      <x v="7"/>
    </i>
    <i r="1">
      <x v="2"/>
    </i>
    <i r="1">
      <x v="4"/>
    </i>
    <i>
      <x v="8"/>
    </i>
    <i r="1">
      <x v="2"/>
    </i>
    <i r="1">
      <x v="4"/>
    </i>
    <i>
      <x v="9"/>
    </i>
    <i r="1">
      <x v="2"/>
    </i>
    <i r="1">
      <x v="4"/>
    </i>
    <i>
      <x v="11"/>
    </i>
    <i r="1">
      <x v="2"/>
    </i>
    <i r="1">
      <x v="4"/>
    </i>
    <i>
      <x v="12"/>
    </i>
    <i r="1">
      <x v="2"/>
    </i>
    <i r="1">
      <x v="4"/>
    </i>
    <i>
      <x v="13"/>
    </i>
    <i r="1">
      <x v="2"/>
    </i>
    <i r="1">
      <x v="4"/>
    </i>
    <i>
      <x v="14"/>
    </i>
    <i r="1">
      <x v="2"/>
    </i>
    <i r="1">
      <x v="4"/>
    </i>
    <i>
      <x v="15"/>
    </i>
    <i r="1">
      <x v="2"/>
    </i>
    <i r="1">
      <x v="4"/>
    </i>
    <i>
      <x v="16"/>
    </i>
    <i r="1">
      <x v="2"/>
    </i>
    <i r="1">
      <x v="4"/>
    </i>
    <i>
      <x v="17"/>
    </i>
    <i r="1">
      <x v="2"/>
    </i>
    <i r="1">
      <x v="4"/>
    </i>
    <i>
      <x v="18"/>
    </i>
    <i r="1">
      <x v="2"/>
    </i>
    <i r="1">
      <x v="4"/>
    </i>
    <i>
      <x v="19"/>
    </i>
    <i r="1">
      <x v="2"/>
    </i>
    <i r="1">
      <x v="4"/>
    </i>
    <i>
      <x v="20"/>
    </i>
    <i r="1">
      <x v="2"/>
    </i>
    <i r="1">
      <x v="4"/>
    </i>
    <i>
      <x v="21"/>
    </i>
    <i r="1">
      <x v="2"/>
    </i>
    <i r="1">
      <x v="4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af 2027 i pct" fld="2" baseField="1" baseItem="4" numFmtId="169"/>
    <dataField name="Sum af 2028 i pct" fld="3" baseField="1" baseItem="2" numFmtId="169"/>
    <dataField name="Sum af 2029 i pct" fld="4" baseField="0" baseItem="0"/>
    <dataField name="Sum af 2030 i pct" fld="5" baseField="1" baseItem="2"/>
  </dataFields>
  <formats count="7">
    <format dxfId="36">
      <pivotArea outline="0" collapsedLevelsAreSubtotals="1" fieldPosition="0"/>
    </format>
    <format dxfId="35">
      <pivotArea outline="0" collapsedLevelsAreSubtotals="1" fieldPosition="0"/>
    </format>
    <format dxfId="34">
      <pivotArea field="0" type="button" dataOnly="0" labelOnly="1" outline="0" axis="axisRow" fieldPosition="0"/>
    </format>
    <format dxfId="33">
      <pivotArea outline="0" fieldPosition="0">
        <references count="1">
          <reference field="4294967294" count="1">
            <x v="0"/>
          </reference>
        </references>
      </pivotArea>
    </format>
    <format dxfId="32">
      <pivotArea outline="0" fieldPosition="0">
        <references count="1">
          <reference field="4294967294" count="1">
            <x v="0"/>
          </reference>
        </references>
      </pivotArea>
    </format>
    <format dxfId="31">
      <pivotArea outline="0" fieldPosition="0">
        <references count="1">
          <reference field="4294967294" count="1">
            <x v="1"/>
          </reference>
        </references>
      </pivotArea>
    </format>
    <format dxfId="30">
      <pivotArea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2000000}" name="Pivottabel1" cacheId="4" applyNumberFormats="0" applyBorderFormats="0" applyFontFormats="0" applyPatternFormats="0" applyAlignmentFormats="0" applyWidthHeightFormats="1" dataCaption="Værdier" updatedVersion="8" minRefreshableVersion="3" useAutoFormatting="1" rowGrandTotals="0" itemPrintTitles="1" createdVersion="6" indent="0" outline="1" outlineData="1" multipleFieldFilters="0" chartFormat="3">
  <location ref="A5:E32" firstHeaderRow="0" firstDataRow="1" firstDataCol="1"/>
  <pivotFields count="7">
    <pivotField showAll="0">
      <items count="32">
        <item x="0"/>
        <item x="2"/>
        <item x="3"/>
        <item x="4"/>
        <item x="5"/>
        <item m="1" x="29"/>
        <item x="6"/>
        <item m="1" x="22"/>
        <item m="1" x="28"/>
        <item m="1" x="23"/>
        <item m="1" x="24"/>
        <item m="1" x="25"/>
        <item x="11"/>
        <item x="12"/>
        <item m="1" x="30"/>
        <item x="14"/>
        <item x="15"/>
        <item x="16"/>
        <item x="17"/>
        <item m="1" x="26"/>
        <item x="19"/>
        <item m="1" x="27"/>
        <item x="21"/>
        <item x="1"/>
        <item x="7"/>
        <item x="8"/>
        <item x="9"/>
        <item x="10"/>
        <item x="13"/>
        <item x="18"/>
        <item x="20"/>
        <item t="default"/>
      </items>
    </pivotField>
    <pivotField axis="axisRow" showAll="0" sortType="ascending">
      <items count="9">
        <item h="1" x="3"/>
        <item x="4"/>
        <item h="1" x="1"/>
        <item x="5"/>
        <item h="1" x="0"/>
        <item h="1" x="2"/>
        <item h="1" x="6"/>
        <item h="1" x="7"/>
        <item t="default"/>
      </items>
    </pivotField>
    <pivotField axis="axisRow" showAll="0">
      <items count="16">
        <item m="1" x="10"/>
        <item x="6"/>
        <item m="1" x="14"/>
        <item x="4"/>
        <item m="1" x="13"/>
        <item m="1" x="12"/>
        <item x="7"/>
        <item x="8"/>
        <item x="2"/>
        <item m="1" x="11"/>
        <item x="3"/>
        <item x="5"/>
        <item x="0"/>
        <item x="9"/>
        <item x="1"/>
        <item t="default"/>
      </items>
    </pivotField>
    <pivotField dataField="1" showAll="0" defaultSubtotal="0"/>
    <pivotField dataField="1" showAll="0" defaultSubtotal="0"/>
    <pivotField dataField="1" showAll="0"/>
    <pivotField dataField="1" showAll="0"/>
  </pivotFields>
  <rowFields count="2">
    <field x="2"/>
    <field x="1"/>
  </rowFields>
  <rowItems count="27">
    <i>
      <x v="1"/>
    </i>
    <i r="1">
      <x v="1"/>
    </i>
    <i r="1">
      <x v="3"/>
    </i>
    <i>
      <x v="3"/>
    </i>
    <i r="1">
      <x v="1"/>
    </i>
    <i r="1">
      <x v="3"/>
    </i>
    <i>
      <x v="6"/>
    </i>
    <i r="1">
      <x v="1"/>
    </i>
    <i r="1">
      <x v="3"/>
    </i>
    <i>
      <x v="7"/>
    </i>
    <i r="1">
      <x v="1"/>
    </i>
    <i r="1">
      <x v="3"/>
    </i>
    <i>
      <x v="8"/>
    </i>
    <i r="1">
      <x v="1"/>
    </i>
    <i r="1">
      <x v="3"/>
    </i>
    <i>
      <x v="10"/>
    </i>
    <i r="1">
      <x v="1"/>
    </i>
    <i r="1">
      <x v="3"/>
    </i>
    <i>
      <x v="11"/>
    </i>
    <i r="1">
      <x v="1"/>
    </i>
    <i r="1">
      <x v="3"/>
    </i>
    <i>
      <x v="12"/>
    </i>
    <i r="1">
      <x v="1"/>
    </i>
    <i r="1">
      <x v="3"/>
    </i>
    <i>
      <x v="13"/>
    </i>
    <i r="1">
      <x v="1"/>
    </i>
    <i r="1">
      <x v="3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af 2027" fld="3" baseField="2" baseItem="3" numFmtId="3"/>
    <dataField name="Sum af 2028" fld="4" baseField="1" baseItem="1" numFmtId="3"/>
    <dataField name="Sum af 2029" fld="5" baseField="1" baseItem="1" numFmtId="3"/>
    <dataField name="Sum af 2030" fld="6" baseField="0" baseItem="0"/>
  </dataFields>
  <formats count="4">
    <format dxfId="25">
      <pivotArea field="0" type="button" dataOnly="0" labelOnly="1" outline="0"/>
    </format>
    <format dxfId="24">
      <pivotArea outline="0" fieldPosition="0">
        <references count="1">
          <reference field="4294967294" count="1">
            <x v="0"/>
          </reference>
        </references>
      </pivotArea>
    </format>
    <format dxfId="23">
      <pivotArea outline="0" fieldPosition="0">
        <references count="1">
          <reference field="4294967294" count="1">
            <x v="1"/>
          </reference>
        </references>
      </pivotArea>
    </format>
    <format dxfId="22">
      <pivotArea outline="0" fieldPosition="0">
        <references count="1">
          <reference field="4294967294" count="1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3" displayName="Tabel3" ref="A19:S327" totalsRowShown="0" headerRowDxfId="21" dataDxfId="20" tableBorderDxfId="19">
  <autoFilter ref="A19:S327" xr:uid="{00000000-0009-0000-0100-000003000000}"/>
  <sortState xmlns:xlrd2="http://schemas.microsoft.com/office/spreadsheetml/2017/richdata2" ref="A17:N363">
    <sortCondition ref="H16:H363"/>
  </sortState>
  <tableColumns count="19">
    <tableColumn id="1" xr3:uid="{00000000-0010-0000-0000-000001000000}" name="Kolonne1" dataDxfId="18" dataCellStyle="normal 2"/>
    <tableColumn id="2" xr3:uid="{00000000-0010-0000-0000-000002000000}" name="Kolonne2" dataDxfId="17" dataCellStyle="normal 2"/>
    <tableColumn id="4" xr3:uid="{00000000-0010-0000-0000-000004000000}" name="Kolonne4" dataDxfId="16" dataCellStyle="normal 2"/>
    <tableColumn id="6" xr3:uid="{00000000-0010-0000-0000-000006000000}" name="Kolonne6" dataDxfId="15" dataCellStyle="normal 2"/>
    <tableColumn id="7" xr3:uid="{00000000-0010-0000-0000-000007000000}" name="Kolonne7" dataDxfId="14" dataCellStyle="normal 2"/>
    <tableColumn id="8" xr3:uid="{00000000-0010-0000-0000-000008000000}" name="Kolonne8" dataDxfId="13" dataCellStyle="normal 2"/>
    <tableColumn id="9" xr3:uid="{00000000-0010-0000-0000-000009000000}" name="Kolonne9" dataDxfId="12" dataCellStyle="normal 2"/>
    <tableColumn id="10" xr3:uid="{00000000-0010-0000-0000-00000A000000}" name="Kolonne10" dataDxfId="11"/>
    <tableColumn id="11" xr3:uid="{00000000-0010-0000-0000-00000B000000}" name="Kolonne11" dataDxfId="10"/>
    <tableColumn id="12" xr3:uid="{00000000-0010-0000-0000-00000C000000}" name="Kolonne12" dataDxfId="9"/>
    <tableColumn id="13" xr3:uid="{00000000-0010-0000-0000-00000D000000}" name="Kolonne13" dataDxfId="8"/>
    <tableColumn id="16" xr3:uid="{00000000-0010-0000-0000-000010000000}" name="Kolonne132" dataDxfId="7"/>
    <tableColumn id="3" xr3:uid="{00000000-0010-0000-0000-000003000000}" name="Kolonne133" dataDxfId="6"/>
    <tableColumn id="5" xr3:uid="{00000000-0010-0000-0000-000005000000}" name="Kolonne134" dataDxfId="5"/>
    <tableColumn id="14" xr3:uid="{00000000-0010-0000-0000-00000E000000}" name="Kolonne135" dataDxfId="4"/>
    <tableColumn id="15" xr3:uid="{00000000-0010-0000-0000-00000F000000}" name="Kolonne136" dataDxfId="3"/>
    <tableColumn id="17" xr3:uid="{00000000-0010-0000-0000-000011000000}" name="Kolonne137" dataDxfId="2"/>
    <tableColumn id="18" xr3:uid="{00000000-0010-0000-0000-000012000000}" name="Kolonne138" dataDxfId="1"/>
    <tableColumn id="19" xr3:uid="{00000000-0010-0000-0000-000013000000}" name="Kolonne139" dataDxfId="0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Kontortema">
  <a:themeElements>
    <a:clrScheme name="Gråtoneskala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34"/>
  <sheetViews>
    <sheetView workbookViewId="0">
      <selection activeCell="B34" sqref="B34"/>
    </sheetView>
  </sheetViews>
  <sheetFormatPr defaultRowHeight="12.75" x14ac:dyDescent="0.35"/>
  <cols>
    <col min="1" max="1" width="10.1328125" bestFit="1" customWidth="1"/>
  </cols>
  <sheetData>
    <row r="1" spans="1:2" ht="13.15" x14ac:dyDescent="0.4">
      <c r="A1" s="96" t="s">
        <v>1001</v>
      </c>
    </row>
    <row r="2" spans="1:2" x14ac:dyDescent="0.35">
      <c r="A2" s="28" t="s">
        <v>996</v>
      </c>
      <c r="B2" t="s">
        <v>995</v>
      </c>
    </row>
    <row r="4" spans="1:2" x14ac:dyDescent="0.35">
      <c r="A4" s="28" t="s">
        <v>999</v>
      </c>
      <c r="B4" s="28" t="s">
        <v>1000</v>
      </c>
    </row>
    <row r="5" spans="1:2" x14ac:dyDescent="0.35">
      <c r="B5" s="28"/>
    </row>
    <row r="6" spans="1:2" x14ac:dyDescent="0.35">
      <c r="A6" t="s">
        <v>997</v>
      </c>
      <c r="B6" t="s">
        <v>998</v>
      </c>
    </row>
    <row r="7" spans="1:2" x14ac:dyDescent="0.35">
      <c r="A7" s="28"/>
    </row>
    <row r="9" spans="1:2" x14ac:dyDescent="0.35">
      <c r="A9" t="s">
        <v>1002</v>
      </c>
      <c r="B9" t="s">
        <v>1003</v>
      </c>
    </row>
    <row r="10" spans="1:2" x14ac:dyDescent="0.35">
      <c r="B10" t="s">
        <v>1004</v>
      </c>
    </row>
    <row r="11" spans="1:2" x14ac:dyDescent="0.35">
      <c r="B11" s="28"/>
    </row>
    <row r="12" spans="1:2" x14ac:dyDescent="0.35">
      <c r="B12" s="28"/>
    </row>
    <row r="13" spans="1:2" x14ac:dyDescent="0.35">
      <c r="A13" t="s">
        <v>1033</v>
      </c>
      <c r="B13" t="s">
        <v>1031</v>
      </c>
    </row>
    <row r="14" spans="1:2" x14ac:dyDescent="0.35">
      <c r="B14" t="s">
        <v>1032</v>
      </c>
    </row>
    <row r="15" spans="1:2" x14ac:dyDescent="0.35">
      <c r="B15" s="28" t="s">
        <v>1036</v>
      </c>
    </row>
    <row r="16" spans="1:2" x14ac:dyDescent="0.35">
      <c r="B16" t="s">
        <v>1028</v>
      </c>
    </row>
    <row r="17" spans="1:7" x14ac:dyDescent="0.35">
      <c r="B17" t="s">
        <v>1029</v>
      </c>
    </row>
    <row r="18" spans="1:7" x14ac:dyDescent="0.35">
      <c r="A18" s="245"/>
      <c r="B18" t="s">
        <v>1029</v>
      </c>
      <c r="F18" t="s">
        <v>1034</v>
      </c>
    </row>
    <row r="19" spans="1:7" x14ac:dyDescent="0.35">
      <c r="B19" s="28"/>
    </row>
    <row r="20" spans="1:7" x14ac:dyDescent="0.35">
      <c r="B20" s="28"/>
    </row>
    <row r="21" spans="1:7" x14ac:dyDescent="0.35">
      <c r="A21" t="s">
        <v>1037</v>
      </c>
      <c r="B21" s="28" t="s">
        <v>1038</v>
      </c>
      <c r="G21" s="28"/>
    </row>
    <row r="22" spans="1:7" x14ac:dyDescent="0.35">
      <c r="B22" s="28" t="s">
        <v>1040</v>
      </c>
    </row>
    <row r="23" spans="1:7" x14ac:dyDescent="0.35">
      <c r="B23" s="28" t="s">
        <v>1044</v>
      </c>
    </row>
    <row r="24" spans="1:7" x14ac:dyDescent="0.35">
      <c r="B24" s="28" t="s">
        <v>1045</v>
      </c>
    </row>
    <row r="25" spans="1:7" x14ac:dyDescent="0.35">
      <c r="B25" s="28" t="s">
        <v>1052</v>
      </c>
    </row>
    <row r="26" spans="1:7" x14ac:dyDescent="0.35">
      <c r="B26" s="28" t="s">
        <v>1054</v>
      </c>
    </row>
    <row r="27" spans="1:7" x14ac:dyDescent="0.35">
      <c r="B27" s="28" t="s">
        <v>1055</v>
      </c>
    </row>
    <row r="28" spans="1:7" x14ac:dyDescent="0.35">
      <c r="B28" s="28" t="s">
        <v>1056</v>
      </c>
    </row>
    <row r="29" spans="1:7" x14ac:dyDescent="0.35">
      <c r="B29" s="28" t="s">
        <v>1057</v>
      </c>
    </row>
    <row r="30" spans="1:7" x14ac:dyDescent="0.35">
      <c r="B30" t="s">
        <v>1049</v>
      </c>
    </row>
    <row r="31" spans="1:7" x14ac:dyDescent="0.35">
      <c r="B31" s="28" t="s">
        <v>1058</v>
      </c>
    </row>
    <row r="32" spans="1:7" ht="14.25" x14ac:dyDescent="0.4">
      <c r="B32" s="756" t="s">
        <v>1059</v>
      </c>
      <c r="C32" s="856"/>
    </row>
    <row r="33" spans="2:2" x14ac:dyDescent="0.35">
      <c r="B33" t="s">
        <v>1061</v>
      </c>
    </row>
    <row r="34" spans="2:2" x14ac:dyDescent="0.35">
      <c r="B34" t="s">
        <v>1069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6:M268"/>
  <sheetViews>
    <sheetView topLeftCell="A241" workbookViewId="0">
      <selection activeCell="F208" sqref="F208"/>
    </sheetView>
  </sheetViews>
  <sheetFormatPr defaultColWidth="9.46484375" defaultRowHeight="12.75" x14ac:dyDescent="0.35"/>
  <cols>
    <col min="1" max="1" width="40.1328125" bestFit="1" customWidth="1"/>
    <col min="2" max="5" width="11.53125" bestFit="1" customWidth="1"/>
    <col min="6" max="7" width="9.53125" bestFit="1" customWidth="1"/>
    <col min="8" max="8" width="40.1328125" bestFit="1" customWidth="1"/>
    <col min="9" max="12" width="16" bestFit="1" customWidth="1"/>
    <col min="13" max="13" width="12.46484375" bestFit="1" customWidth="1"/>
    <col min="14" max="14" width="14.46484375" customWidth="1"/>
    <col min="15" max="15" width="20.46484375" bestFit="1" customWidth="1"/>
    <col min="16" max="16" width="27.53125" bestFit="1" customWidth="1"/>
    <col min="17" max="17" width="21.46484375" bestFit="1" customWidth="1"/>
    <col min="18" max="18" width="27.46484375" bestFit="1" customWidth="1"/>
    <col min="19" max="19" width="5.53125" customWidth="1"/>
    <col min="20" max="20" width="12.46484375" bestFit="1" customWidth="1"/>
    <col min="21" max="21" width="14.46484375" bestFit="1" customWidth="1"/>
    <col min="22" max="22" width="20.46484375" bestFit="1" customWidth="1"/>
    <col min="23" max="23" width="27.53125" bestFit="1" customWidth="1"/>
    <col min="24" max="24" width="21.46484375" bestFit="1" customWidth="1"/>
    <col min="25" max="25" width="27.46484375" bestFit="1" customWidth="1"/>
    <col min="26" max="26" width="5.53125" customWidth="1"/>
    <col min="27" max="28" width="16.53125" bestFit="1" customWidth="1"/>
    <col min="29" max="30" width="17.46484375" bestFit="1" customWidth="1"/>
  </cols>
  <sheetData>
    <row r="6" spans="1:13" x14ac:dyDescent="0.35">
      <c r="J6" s="28" t="s">
        <v>187</v>
      </c>
    </row>
    <row r="7" spans="1:13" ht="13.15" thickBot="1" x14ac:dyDescent="0.4">
      <c r="A7" s="28" t="s">
        <v>174</v>
      </c>
      <c r="B7" s="28" t="s">
        <v>175</v>
      </c>
      <c r="C7" s="148" t="s">
        <v>190</v>
      </c>
      <c r="D7">
        <f>+'Budgetforslag 2027-2030'!C3</f>
        <v>2027</v>
      </c>
      <c r="E7">
        <f>+D7+1</f>
        <v>2028</v>
      </c>
      <c r="F7">
        <f>+E7+1</f>
        <v>2029</v>
      </c>
      <c r="G7">
        <f>+F7+1</f>
        <v>2030</v>
      </c>
      <c r="H7" t="str">
        <f>A7</f>
        <v>Aktivitetsområde</v>
      </c>
      <c r="I7" s="28" t="s">
        <v>175</v>
      </c>
      <c r="J7" s="28" t="s">
        <v>242</v>
      </c>
      <c r="K7" s="28" t="s">
        <v>271</v>
      </c>
      <c r="L7" s="28" t="s">
        <v>322</v>
      </c>
      <c r="M7" s="28" t="s">
        <v>335</v>
      </c>
    </row>
    <row r="8" spans="1:13" ht="13.15" thickBot="1" x14ac:dyDescent="0.4">
      <c r="A8" t="s">
        <v>106</v>
      </c>
      <c r="B8" t="s">
        <v>189</v>
      </c>
      <c r="C8" s="28" t="s">
        <v>191</v>
      </c>
      <c r="D8" s="239">
        <v>475352.99</v>
      </c>
      <c r="E8" s="239">
        <v>464720.51799999998</v>
      </c>
      <c r="F8" s="239">
        <v>472800.50400000002</v>
      </c>
      <c r="G8" s="239">
        <v>472800.50400000002</v>
      </c>
      <c r="H8" t="str">
        <f t="shared" ref="H8:H68" si="0">A8</f>
        <v>11. Administration</v>
      </c>
      <c r="I8" t="str">
        <f>B8</f>
        <v>Serviceramme ompr.sag</v>
      </c>
    </row>
    <row r="9" spans="1:13" ht="13.15" thickBot="1" x14ac:dyDescent="0.4">
      <c r="A9" t="s">
        <v>106</v>
      </c>
      <c r="B9" s="28" t="s">
        <v>185</v>
      </c>
      <c r="C9" s="28" t="s">
        <v>191</v>
      </c>
      <c r="D9" s="239">
        <f>Afstemning!D9</f>
        <v>475923.87199999997</v>
      </c>
      <c r="E9" s="239">
        <f>Afstemning!E9</f>
        <v>465291.4</v>
      </c>
      <c r="F9" s="239">
        <f>Afstemning!F9</f>
        <v>473371.386</v>
      </c>
      <c r="G9" s="239">
        <f>Afstemning!G9</f>
        <v>473371.386</v>
      </c>
      <c r="H9" t="str">
        <f t="shared" si="0"/>
        <v>11. Administration</v>
      </c>
      <c r="I9" t="str">
        <f t="shared" ref="I9:I68" si="1">B9</f>
        <v xml:space="preserve">Driftsramme </v>
      </c>
      <c r="J9" s="211"/>
      <c r="K9" s="211"/>
      <c r="L9" s="211"/>
      <c r="M9" s="211"/>
    </row>
    <row r="10" spans="1:13" ht="13.15" thickBot="1" x14ac:dyDescent="0.4">
      <c r="A10" t="s">
        <v>106</v>
      </c>
      <c r="B10" t="s">
        <v>29</v>
      </c>
      <c r="C10" s="28" t="s">
        <v>191</v>
      </c>
      <c r="D10" s="239">
        <f>Afstemning!D10</f>
        <v>7185</v>
      </c>
      <c r="E10" s="239">
        <f>Afstemning!E10</f>
        <v>8224</v>
      </c>
      <c r="F10" s="239">
        <f>Afstemning!F10</f>
        <v>7970</v>
      </c>
      <c r="G10" s="239">
        <f>Afstemning!G10</f>
        <v>-545</v>
      </c>
      <c r="H10" t="str">
        <f t="shared" si="0"/>
        <v>11. Administration</v>
      </c>
      <c r="I10" t="str">
        <f t="shared" si="1"/>
        <v>Tekniske korrektioner</v>
      </c>
      <c r="J10" s="286">
        <f>D10/D8</f>
        <v>1.5115083214265676E-2</v>
      </c>
      <c r="K10" s="286">
        <f>E10/E8</f>
        <v>1.7696657843715005E-2</v>
      </c>
      <c r="L10" s="286">
        <f>F10/F8</f>
        <v>1.6857004027220748E-2</v>
      </c>
      <c r="M10" s="286">
        <f>G10/G8</f>
        <v>-1.1527060470307789E-3</v>
      </c>
    </row>
    <row r="11" spans="1:13" ht="13.15" thickBot="1" x14ac:dyDescent="0.4">
      <c r="A11" t="s">
        <v>106</v>
      </c>
      <c r="B11" s="28" t="s">
        <v>107</v>
      </c>
      <c r="C11" s="28" t="s">
        <v>191</v>
      </c>
      <c r="D11" s="239">
        <f>Afstemning!D11</f>
        <v>106</v>
      </c>
      <c r="E11" s="239">
        <f>Afstemning!E11</f>
        <v>296</v>
      </c>
      <c r="F11" s="239">
        <f>Afstemning!F11</f>
        <v>296</v>
      </c>
      <c r="G11" s="239">
        <f>Afstemning!G11</f>
        <v>106</v>
      </c>
      <c r="H11" t="str">
        <f t="shared" si="0"/>
        <v>11. Administration</v>
      </c>
      <c r="I11" t="str">
        <f t="shared" si="1"/>
        <v>Afledt drift</v>
      </c>
      <c r="J11" s="286">
        <f>D11/D8</f>
        <v>2.2299218103161611E-4</v>
      </c>
      <c r="K11" s="286">
        <f>E11/E8</f>
        <v>6.3694196519207701E-4</v>
      </c>
      <c r="L11" s="286">
        <f>F11/F8</f>
        <v>6.2605686224056979E-4</v>
      </c>
      <c r="M11" s="286">
        <f>G11/G8</f>
        <v>2.2419603850506892E-4</v>
      </c>
    </row>
    <row r="12" spans="1:13" ht="13.15" thickBot="1" x14ac:dyDescent="0.4">
      <c r="A12" t="s">
        <v>106</v>
      </c>
      <c r="B12" t="s">
        <v>108</v>
      </c>
      <c r="C12" s="28" t="s">
        <v>191</v>
      </c>
      <c r="D12" s="239">
        <f>Afstemning!D12</f>
        <v>8451</v>
      </c>
      <c r="E12" s="239">
        <f>Afstemning!E12</f>
        <v>8991</v>
      </c>
      <c r="F12" s="239">
        <f>Afstemning!F12</f>
        <v>8991</v>
      </c>
      <c r="G12" s="239">
        <f>Afstemning!G12</f>
        <v>8991</v>
      </c>
      <c r="H12" t="str">
        <f t="shared" si="0"/>
        <v>11. Administration</v>
      </c>
      <c r="I12" t="str">
        <f t="shared" si="1"/>
        <v>Budgetønsker</v>
      </c>
      <c r="J12" s="286">
        <f>D12/D8</f>
        <v>1.7778367187718754E-2</v>
      </c>
      <c r="K12" s="286">
        <f>E12/E8</f>
        <v>1.9347112192709341E-2</v>
      </c>
      <c r="L12" s="286">
        <f>F12/F8</f>
        <v>1.901647719055731E-2</v>
      </c>
      <c r="M12" s="286">
        <f>G12/G8</f>
        <v>1.901647719055731E-2</v>
      </c>
    </row>
    <row r="13" spans="1:13" ht="13.15" thickBot="1" x14ac:dyDescent="0.4">
      <c r="A13" t="s">
        <v>106</v>
      </c>
      <c r="B13" t="s">
        <v>39</v>
      </c>
      <c r="C13" s="28" t="s">
        <v>191</v>
      </c>
      <c r="D13" s="239">
        <f>Afstemning!D13</f>
        <v>-20625</v>
      </c>
      <c r="E13" s="239">
        <f>Afstemning!E13</f>
        <v>-16795</v>
      </c>
      <c r="F13" s="239">
        <f>Afstemning!F13</f>
        <v>-16695</v>
      </c>
      <c r="G13" s="239">
        <f>Afstemning!G13</f>
        <v>-13570</v>
      </c>
      <c r="H13" t="str">
        <f t="shared" si="0"/>
        <v>11. Administration</v>
      </c>
      <c r="I13" t="str">
        <f t="shared" si="1"/>
        <v>Finansieringsforslag</v>
      </c>
      <c r="J13" s="286">
        <f>D13/D8</f>
        <v>-4.3388808809217756E-2</v>
      </c>
      <c r="K13" s="286">
        <f>E13/E8</f>
        <v>-3.6140001031759912E-2</v>
      </c>
      <c r="L13" s="286">
        <f>F13/F8</f>
        <v>-3.5310876064548358E-2</v>
      </c>
      <c r="M13" s="286">
        <f>G13/G8</f>
        <v>-2.8701323042582882E-2</v>
      </c>
    </row>
    <row r="14" spans="1:13" x14ac:dyDescent="0.35">
      <c r="A14" t="s">
        <v>106</v>
      </c>
      <c r="B14" s="28" t="s">
        <v>183</v>
      </c>
      <c r="C14" s="28" t="s">
        <v>191</v>
      </c>
      <c r="D14" s="105">
        <f>SUM(D9:D13)</f>
        <v>471040.87199999997</v>
      </c>
      <c r="E14" s="105">
        <f>SUM(E9:E13)</f>
        <v>466007.4</v>
      </c>
      <c r="F14" s="105">
        <f>SUM(F9:F13)</f>
        <v>473933.386</v>
      </c>
      <c r="G14" s="105">
        <f>SUM(G9:G13)</f>
        <v>468353.386</v>
      </c>
      <c r="H14" t="str">
        <f t="shared" si="0"/>
        <v>11. Administration</v>
      </c>
      <c r="I14" t="str">
        <f t="shared" si="1"/>
        <v>Vedtaget budget 2020 - 2023</v>
      </c>
      <c r="J14" s="105"/>
      <c r="K14" s="105"/>
      <c r="L14" s="105"/>
      <c r="M14" s="105"/>
    </row>
    <row r="15" spans="1:13" x14ac:dyDescent="0.35">
      <c r="D15" s="105"/>
      <c r="E15" s="105"/>
      <c r="F15" s="105"/>
      <c r="G15" s="105"/>
      <c r="H15">
        <f t="shared" si="0"/>
        <v>0</v>
      </c>
      <c r="I15">
        <f t="shared" si="1"/>
        <v>0</v>
      </c>
      <c r="J15" s="105"/>
      <c r="K15" s="105"/>
      <c r="L15" s="105"/>
      <c r="M15" s="105"/>
    </row>
    <row r="16" spans="1:13" ht="13.15" thickBot="1" x14ac:dyDescent="0.4">
      <c r="D16" s="105"/>
      <c r="E16" s="105"/>
      <c r="F16" s="105"/>
      <c r="G16" s="105"/>
      <c r="H16">
        <f t="shared" si="0"/>
        <v>0</v>
      </c>
      <c r="I16">
        <f t="shared" si="1"/>
        <v>0</v>
      </c>
      <c r="J16" s="105"/>
      <c r="K16" s="105"/>
      <c r="L16" s="105"/>
      <c r="M16" s="105"/>
    </row>
    <row r="17" spans="1:13" ht="13.15" thickBot="1" x14ac:dyDescent="0.4">
      <c r="A17" t="s">
        <v>109</v>
      </c>
      <c r="B17" t="s">
        <v>189</v>
      </c>
      <c r="C17" s="28" t="s">
        <v>191</v>
      </c>
      <c r="D17" s="239">
        <v>168790.29500000001</v>
      </c>
      <c r="E17" s="239">
        <v>168249.91899999999</v>
      </c>
      <c r="F17" s="239">
        <v>166302.535</v>
      </c>
      <c r="G17" s="239">
        <v>166302.535</v>
      </c>
      <c r="H17" t="str">
        <f t="shared" si="0"/>
        <v>12. Ejendomme</v>
      </c>
      <c r="I17" t="str">
        <f t="shared" si="1"/>
        <v>Serviceramme ompr.sag</v>
      </c>
      <c r="J17" s="105"/>
      <c r="K17" s="105"/>
      <c r="L17" s="105"/>
      <c r="M17" s="105"/>
    </row>
    <row r="18" spans="1:13" ht="13.15" thickBot="1" x14ac:dyDescent="0.4">
      <c r="A18" t="s">
        <v>109</v>
      </c>
      <c r="B18" s="28" t="s">
        <v>185</v>
      </c>
      <c r="C18" s="28" t="s">
        <v>191</v>
      </c>
      <c r="D18" s="239">
        <f>Afstemning!D18</f>
        <v>169925.58499999999</v>
      </c>
      <c r="E18" s="239">
        <f>Afstemning!E18</f>
        <v>169385.231</v>
      </c>
      <c r="F18" s="239">
        <f>Afstemning!F18</f>
        <v>167437.84700000001</v>
      </c>
      <c r="G18" s="239">
        <f>Afstemning!G18</f>
        <v>167437.84700000001</v>
      </c>
      <c r="H18" t="str">
        <f t="shared" si="0"/>
        <v>12. Ejendomme</v>
      </c>
      <c r="I18" t="str">
        <f t="shared" si="1"/>
        <v xml:space="preserve">Driftsramme </v>
      </c>
      <c r="J18" s="211"/>
      <c r="K18" s="211"/>
      <c r="L18" s="211"/>
      <c r="M18" s="211"/>
    </row>
    <row r="19" spans="1:13" ht="13.15" thickBot="1" x14ac:dyDescent="0.4">
      <c r="A19" t="s">
        <v>109</v>
      </c>
      <c r="B19" t="s">
        <v>29</v>
      </c>
      <c r="C19" s="28" t="s">
        <v>191</v>
      </c>
      <c r="D19" s="239">
        <f>Afstemning!D19</f>
        <v>-12243</v>
      </c>
      <c r="E19" s="239">
        <f>Afstemning!E19</f>
        <v>-2430</v>
      </c>
      <c r="F19" s="239">
        <f>Afstemning!F19</f>
        <v>38</v>
      </c>
      <c r="G19" s="239">
        <f>Afstemning!G19</f>
        <v>-3253</v>
      </c>
      <c r="H19" t="str">
        <f t="shared" si="0"/>
        <v>12. Ejendomme</v>
      </c>
      <c r="I19" t="str">
        <f t="shared" si="1"/>
        <v>Tekniske korrektioner</v>
      </c>
      <c r="J19" s="286">
        <f>D19/D17</f>
        <v>-7.2533791116367194E-2</v>
      </c>
      <c r="K19" s="286">
        <f>E19/E17</f>
        <v>-1.444280041525607E-2</v>
      </c>
      <c r="L19" s="286">
        <f>F19/F17</f>
        <v>2.284992228170184E-4</v>
      </c>
      <c r="M19" s="286">
        <f>G19/G17</f>
        <v>-1.9560736100625285E-2</v>
      </c>
    </row>
    <row r="20" spans="1:13" ht="13.15" thickBot="1" x14ac:dyDescent="0.4">
      <c r="A20" t="s">
        <v>109</v>
      </c>
      <c r="B20" s="28" t="s">
        <v>107</v>
      </c>
      <c r="C20" s="28" t="s">
        <v>191</v>
      </c>
      <c r="D20" s="239">
        <f>Afstemning!D20</f>
        <v>-1541</v>
      </c>
      <c r="E20" s="239">
        <f>Afstemning!E20</f>
        <v>-1181</v>
      </c>
      <c r="F20" s="239">
        <f>Afstemning!F20</f>
        <v>112</v>
      </c>
      <c r="G20" s="239">
        <f>Afstemning!G20</f>
        <v>-298</v>
      </c>
      <c r="H20" t="str">
        <f t="shared" si="0"/>
        <v>12. Ejendomme</v>
      </c>
      <c r="I20" t="str">
        <f t="shared" si="1"/>
        <v>Afledt drift</v>
      </c>
      <c r="J20" s="286">
        <f>D20/D17</f>
        <v>-9.1296718214752808E-3</v>
      </c>
      <c r="K20" s="286">
        <f>E20/E17</f>
        <v>-7.0193198725997602E-3</v>
      </c>
      <c r="L20" s="286">
        <f>F20/F17</f>
        <v>6.7347139356594896E-4</v>
      </c>
      <c r="M20" s="286">
        <f>G20/G17</f>
        <v>-1.7919149578808284E-3</v>
      </c>
    </row>
    <row r="21" spans="1:13" ht="13.15" thickBot="1" x14ac:dyDescent="0.4">
      <c r="A21" t="s">
        <v>109</v>
      </c>
      <c r="B21" t="s">
        <v>108</v>
      </c>
      <c r="C21" s="28" t="s">
        <v>191</v>
      </c>
      <c r="D21" s="239">
        <f>Afstemning!D21</f>
        <v>280</v>
      </c>
      <c r="E21" s="239">
        <f>Afstemning!E21</f>
        <v>300</v>
      </c>
      <c r="F21" s="239">
        <f>Afstemning!F21</f>
        <v>300</v>
      </c>
      <c r="G21" s="239">
        <f>Afstemning!G21</f>
        <v>300</v>
      </c>
      <c r="H21" t="str">
        <f t="shared" si="0"/>
        <v>12. Ejendomme</v>
      </c>
      <c r="I21" t="str">
        <f t="shared" si="1"/>
        <v>Budgetønsker</v>
      </c>
      <c r="J21" s="286">
        <f>D21/D17</f>
        <v>1.6588631473154305E-3</v>
      </c>
      <c r="K21" s="286">
        <f>E21/E17</f>
        <v>1.7830617796612432E-3</v>
      </c>
      <c r="L21" s="286">
        <f>F21/F17</f>
        <v>1.8039412327659347E-3</v>
      </c>
      <c r="M21" s="286">
        <f>G21/G17</f>
        <v>1.8039412327659347E-3</v>
      </c>
    </row>
    <row r="22" spans="1:13" ht="13.15" thickBot="1" x14ac:dyDescent="0.4">
      <c r="A22" t="s">
        <v>109</v>
      </c>
      <c r="B22" t="s">
        <v>39</v>
      </c>
      <c r="C22" s="28" t="s">
        <v>191</v>
      </c>
      <c r="D22" s="239">
        <f>Afstemning!D22</f>
        <v>-15257</v>
      </c>
      <c r="E22" s="239">
        <f>Afstemning!E22</f>
        <v>-14605</v>
      </c>
      <c r="F22" s="239">
        <f>Afstemning!F22</f>
        <v>-14605</v>
      </c>
      <c r="G22" s="239">
        <f>Afstemning!G22</f>
        <v>-14605</v>
      </c>
      <c r="H22" t="str">
        <f t="shared" si="0"/>
        <v>12. Ejendomme</v>
      </c>
      <c r="I22" t="str">
        <f t="shared" si="1"/>
        <v>Finansieringsforslag</v>
      </c>
      <c r="J22" s="286">
        <f>D22/D17</f>
        <v>-9.0390267994969728E-2</v>
      </c>
      <c r="K22" s="286">
        <f>E22/E17</f>
        <v>-8.6805390973174856E-2</v>
      </c>
      <c r="L22" s="286">
        <f>F22/F17</f>
        <v>-8.7821872348488247E-2</v>
      </c>
      <c r="M22" s="286">
        <f>G22/G17</f>
        <v>-8.7821872348488247E-2</v>
      </c>
    </row>
    <row r="23" spans="1:13" x14ac:dyDescent="0.35">
      <c r="A23" t="s">
        <v>109</v>
      </c>
      <c r="B23" s="28" t="s">
        <v>183</v>
      </c>
      <c r="C23" s="28" t="s">
        <v>191</v>
      </c>
      <c r="D23" s="105">
        <f>SUM(D18:D22)</f>
        <v>141164.58499999999</v>
      </c>
      <c r="E23" s="105">
        <f>SUM(E18:E22)</f>
        <v>151469.231</v>
      </c>
      <c r="F23" s="105">
        <f>SUM(F18:F22)</f>
        <v>153282.84700000001</v>
      </c>
      <c r="G23" s="105">
        <f>SUM(G18:G22)</f>
        <v>149581.84700000001</v>
      </c>
      <c r="H23" t="str">
        <f t="shared" si="0"/>
        <v>12. Ejendomme</v>
      </c>
      <c r="I23" t="str">
        <f t="shared" si="1"/>
        <v>Vedtaget budget 2020 - 2023</v>
      </c>
      <c r="J23" s="105"/>
      <c r="K23" s="105"/>
      <c r="L23" s="105"/>
      <c r="M23" s="105"/>
    </row>
    <row r="24" spans="1:13" x14ac:dyDescent="0.35">
      <c r="D24" s="105"/>
      <c r="E24" s="105"/>
      <c r="F24" s="105"/>
      <c r="G24" s="105"/>
      <c r="H24">
        <f t="shared" si="0"/>
        <v>0</v>
      </c>
      <c r="I24">
        <f t="shared" si="1"/>
        <v>0</v>
      </c>
      <c r="J24" s="105"/>
      <c r="K24" s="105"/>
      <c r="L24" s="105"/>
      <c r="M24" s="105"/>
    </row>
    <row r="25" spans="1:13" ht="13.15" thickBot="1" x14ac:dyDescent="0.4">
      <c r="D25" s="105"/>
      <c r="E25" s="105"/>
      <c r="F25" s="105"/>
      <c r="G25" s="105"/>
      <c r="H25">
        <f t="shared" si="0"/>
        <v>0</v>
      </c>
      <c r="I25">
        <f t="shared" si="1"/>
        <v>0</v>
      </c>
      <c r="J25" s="105"/>
      <c r="K25" s="105"/>
      <c r="L25" s="105"/>
      <c r="M25" s="105"/>
    </row>
    <row r="26" spans="1:13" ht="13.15" thickBot="1" x14ac:dyDescent="0.4">
      <c r="A26" s="28" t="s">
        <v>140</v>
      </c>
      <c r="B26" t="s">
        <v>189</v>
      </c>
      <c r="C26" s="28" t="s">
        <v>191</v>
      </c>
      <c r="D26" s="239">
        <v>53357.777999999998</v>
      </c>
      <c r="E26" s="239">
        <v>53386.781999999999</v>
      </c>
      <c r="F26" s="239">
        <v>53440.281999999999</v>
      </c>
      <c r="G26" s="239">
        <v>53440.281999999999</v>
      </c>
      <c r="H26" t="str">
        <f t="shared" si="0"/>
        <v>13. Rengøring - Bestiller</v>
      </c>
      <c r="I26" t="str">
        <f t="shared" si="1"/>
        <v>Serviceramme ompr.sag</v>
      </c>
      <c r="J26" s="105"/>
      <c r="K26" s="105"/>
      <c r="L26" s="105"/>
      <c r="M26" s="105"/>
    </row>
    <row r="27" spans="1:13" ht="13.15" thickBot="1" x14ac:dyDescent="0.4">
      <c r="A27" s="28" t="s">
        <v>140</v>
      </c>
      <c r="B27" s="28" t="s">
        <v>185</v>
      </c>
      <c r="C27" s="28" t="s">
        <v>191</v>
      </c>
      <c r="D27" s="239">
        <f>Afstemning!D27</f>
        <v>53966.777999999998</v>
      </c>
      <c r="E27" s="239">
        <f>Afstemning!E27</f>
        <v>53994.781999999999</v>
      </c>
      <c r="F27" s="239">
        <f>Afstemning!F27</f>
        <v>54048.281999999999</v>
      </c>
      <c r="G27" s="239">
        <f>Afstemning!G27</f>
        <v>54048.281999999999</v>
      </c>
      <c r="H27" t="str">
        <f t="shared" si="0"/>
        <v>13. Rengøring - Bestiller</v>
      </c>
      <c r="I27" t="str">
        <f t="shared" si="1"/>
        <v xml:space="preserve">Driftsramme </v>
      </c>
      <c r="J27" s="211"/>
      <c r="K27" s="211"/>
      <c r="L27" s="211"/>
      <c r="M27" s="211"/>
    </row>
    <row r="28" spans="1:13" ht="13.15" thickBot="1" x14ac:dyDescent="0.4">
      <c r="A28" s="28" t="s">
        <v>140</v>
      </c>
      <c r="B28" t="s">
        <v>29</v>
      </c>
      <c r="C28" s="28" t="s">
        <v>191</v>
      </c>
      <c r="D28" s="239">
        <f>Afstemning!D28</f>
        <v>872</v>
      </c>
      <c r="E28" s="239">
        <f>Afstemning!E28</f>
        <v>1088</v>
      </c>
      <c r="F28" s="239">
        <f>Afstemning!F28</f>
        <v>891</v>
      </c>
      <c r="G28" s="239">
        <f>Afstemning!G28</f>
        <v>731</v>
      </c>
      <c r="H28" t="str">
        <f t="shared" si="0"/>
        <v>13. Rengøring - Bestiller</v>
      </c>
      <c r="I28" t="str">
        <f t="shared" si="1"/>
        <v>Tekniske korrektioner</v>
      </c>
      <c r="J28" s="286">
        <f>D28/D26</f>
        <v>1.6342509614999334E-2</v>
      </c>
      <c r="K28" s="286">
        <f>E28/E26</f>
        <v>2.0379576352813324E-2</v>
      </c>
      <c r="L28" s="286">
        <f>F28/F26</f>
        <v>1.6672816210064161E-2</v>
      </c>
      <c r="M28" s="286">
        <f>G28/G26</f>
        <v>1.367882003317273E-2</v>
      </c>
    </row>
    <row r="29" spans="1:13" ht="13.15" thickBot="1" x14ac:dyDescent="0.4">
      <c r="A29" s="28" t="s">
        <v>140</v>
      </c>
      <c r="B29" s="28" t="s">
        <v>107</v>
      </c>
      <c r="C29" s="28" t="s">
        <v>191</v>
      </c>
      <c r="D29" s="239">
        <f>Afstemning!D29</f>
        <v>-277</v>
      </c>
      <c r="E29" s="239">
        <f>Afstemning!E29</f>
        <v>-325</v>
      </c>
      <c r="F29" s="239">
        <f>Afstemning!F29</f>
        <v>-133</v>
      </c>
      <c r="G29" s="239">
        <f>Afstemning!G29</f>
        <v>-120</v>
      </c>
      <c r="H29" t="str">
        <f t="shared" si="0"/>
        <v>13. Rengøring - Bestiller</v>
      </c>
      <c r="I29" t="str">
        <f t="shared" si="1"/>
        <v>Afledt drift</v>
      </c>
      <c r="J29" s="286">
        <f>D29/D26</f>
        <v>-5.1913706001775412E-3</v>
      </c>
      <c r="K29" s="286">
        <f>E29/E26</f>
        <v>-6.0876491862723627E-3</v>
      </c>
      <c r="L29" s="286">
        <f>F29/F26</f>
        <v>-2.4887593220410029E-3</v>
      </c>
      <c r="M29" s="286">
        <f>G29/G26</f>
        <v>-2.245497132668574E-3</v>
      </c>
    </row>
    <row r="30" spans="1:13" ht="13.15" thickBot="1" x14ac:dyDescent="0.4">
      <c r="A30" s="28" t="s">
        <v>140</v>
      </c>
      <c r="B30" t="s">
        <v>108</v>
      </c>
      <c r="C30" s="28" t="s">
        <v>191</v>
      </c>
      <c r="D30" s="239">
        <f>Afstemning!D30</f>
        <v>100</v>
      </c>
      <c r="E30" s="239">
        <f>Afstemning!E30</f>
        <v>100</v>
      </c>
      <c r="F30" s="239">
        <f>Afstemning!F30</f>
        <v>100</v>
      </c>
      <c r="G30" s="239">
        <f>Afstemning!G30</f>
        <v>100</v>
      </c>
      <c r="H30" t="str">
        <f t="shared" si="0"/>
        <v>13. Rengøring - Bestiller</v>
      </c>
      <c r="I30" t="str">
        <f t="shared" si="1"/>
        <v>Budgetønsker</v>
      </c>
      <c r="J30" s="286">
        <f>D30/D26</f>
        <v>1.8741410108944192E-3</v>
      </c>
      <c r="K30" s="286">
        <f>E30/E26</f>
        <v>1.8731228265453422E-3</v>
      </c>
      <c r="L30" s="286">
        <f>F30/F26</f>
        <v>1.8712476105571449E-3</v>
      </c>
      <c r="M30" s="286">
        <f>G30/G26</f>
        <v>1.8712476105571449E-3</v>
      </c>
    </row>
    <row r="31" spans="1:13" ht="13.15" thickBot="1" x14ac:dyDescent="0.4">
      <c r="A31" s="28" t="s">
        <v>140</v>
      </c>
      <c r="B31" t="s">
        <v>39</v>
      </c>
      <c r="C31" s="28" t="s">
        <v>191</v>
      </c>
      <c r="D31" s="239">
        <f>Afstemning!D31</f>
        <v>-360</v>
      </c>
      <c r="E31" s="239">
        <f>Afstemning!E31</f>
        <v>-360</v>
      </c>
      <c r="F31" s="239">
        <f>Afstemning!F31</f>
        <v>-360</v>
      </c>
      <c r="G31" s="239">
        <f>Afstemning!G31</f>
        <v>-360</v>
      </c>
      <c r="H31" t="str">
        <f t="shared" si="0"/>
        <v>13. Rengøring - Bestiller</v>
      </c>
      <c r="I31" t="str">
        <f t="shared" si="1"/>
        <v>Finansieringsforslag</v>
      </c>
      <c r="J31" s="286">
        <f>D31/D26</f>
        <v>-6.7469076392199095E-3</v>
      </c>
      <c r="K31" s="286">
        <f>E31/E26</f>
        <v>-6.7432421755632323E-3</v>
      </c>
      <c r="L31" s="286">
        <f>F31/F26</f>
        <v>-6.736491398005722E-3</v>
      </c>
      <c r="M31" s="286">
        <f>G31/G26</f>
        <v>-6.736491398005722E-3</v>
      </c>
    </row>
    <row r="32" spans="1:13" x14ac:dyDescent="0.35">
      <c r="A32" s="28" t="s">
        <v>140</v>
      </c>
      <c r="B32" s="28" t="s">
        <v>183</v>
      </c>
      <c r="C32" s="28" t="s">
        <v>191</v>
      </c>
      <c r="D32" s="105">
        <f>SUM(D27:D31)</f>
        <v>54301.777999999998</v>
      </c>
      <c r="E32" s="105">
        <f>SUM(E27:E31)</f>
        <v>54497.781999999999</v>
      </c>
      <c r="F32" s="105">
        <f>SUM(F27:F31)</f>
        <v>54546.281999999999</v>
      </c>
      <c r="G32" s="105">
        <f>SUM(G27:G31)</f>
        <v>54399.281999999999</v>
      </c>
      <c r="H32" t="str">
        <f t="shared" si="0"/>
        <v>13. Rengøring - Bestiller</v>
      </c>
      <c r="I32" t="str">
        <f t="shared" si="1"/>
        <v>Vedtaget budget 2020 - 2023</v>
      </c>
      <c r="J32" s="105"/>
      <c r="K32" s="105"/>
      <c r="L32" s="105"/>
      <c r="M32" s="105"/>
    </row>
    <row r="33" spans="1:13" x14ac:dyDescent="0.35">
      <c r="B33" s="28"/>
      <c r="D33" s="105"/>
      <c r="E33" s="105"/>
      <c r="F33" s="105"/>
      <c r="G33" s="105"/>
      <c r="H33">
        <f t="shared" si="0"/>
        <v>0</v>
      </c>
      <c r="I33">
        <f t="shared" si="1"/>
        <v>0</v>
      </c>
      <c r="J33" s="105"/>
      <c r="K33" s="105"/>
      <c r="L33" s="105"/>
      <c r="M33" s="105"/>
    </row>
    <row r="34" spans="1:13" ht="13.15" thickBot="1" x14ac:dyDescent="0.4">
      <c r="B34" s="28"/>
      <c r="D34" s="105"/>
      <c r="E34" s="105"/>
      <c r="F34" s="105"/>
      <c r="G34" s="105"/>
      <c r="H34">
        <f t="shared" si="0"/>
        <v>0</v>
      </c>
      <c r="I34">
        <f t="shared" si="1"/>
        <v>0</v>
      </c>
      <c r="J34" s="105"/>
      <c r="K34" s="105"/>
      <c r="L34" s="105"/>
      <c r="M34" s="105"/>
    </row>
    <row r="35" spans="1:13" ht="13.15" thickBot="1" x14ac:dyDescent="0.4">
      <c r="A35" s="28" t="s">
        <v>161</v>
      </c>
      <c r="B35" t="s">
        <v>189</v>
      </c>
      <c r="C35" t="s">
        <v>192</v>
      </c>
      <c r="D35" s="239">
        <v>13943.986000000001</v>
      </c>
      <c r="E35" s="239">
        <v>13791.991</v>
      </c>
      <c r="F35" s="239">
        <v>13791.989</v>
      </c>
      <c r="G35" s="239">
        <v>13791.989</v>
      </c>
      <c r="H35" t="str">
        <f t="shared" si="0"/>
        <v>21. Natur, Miljø og Klima</v>
      </c>
      <c r="I35" t="str">
        <f t="shared" si="1"/>
        <v>Serviceramme ompr.sag</v>
      </c>
      <c r="J35" s="105"/>
      <c r="K35" s="105"/>
      <c r="L35" s="105"/>
      <c r="M35" s="105"/>
    </row>
    <row r="36" spans="1:13" ht="13.15" thickBot="1" x14ac:dyDescent="0.4">
      <c r="A36" s="28" t="s">
        <v>161</v>
      </c>
      <c r="B36" s="28" t="s">
        <v>185</v>
      </c>
      <c r="C36" t="s">
        <v>192</v>
      </c>
      <c r="D36" s="239">
        <f>Afstemning!D36</f>
        <v>13943.986000000001</v>
      </c>
      <c r="E36" s="239">
        <f>Afstemning!E36</f>
        <v>13791.991</v>
      </c>
      <c r="F36" s="239">
        <f>Afstemning!F36</f>
        <v>13791.989</v>
      </c>
      <c r="G36" s="239">
        <f>Afstemning!G36</f>
        <v>13791.989</v>
      </c>
      <c r="H36" t="str">
        <f t="shared" si="0"/>
        <v>21. Natur, Miljø og Klima</v>
      </c>
      <c r="I36" t="str">
        <f t="shared" si="1"/>
        <v xml:space="preserve">Driftsramme </v>
      </c>
      <c r="J36" s="211"/>
      <c r="K36" s="211"/>
      <c r="L36" s="211"/>
      <c r="M36" s="211"/>
    </row>
    <row r="37" spans="1:13" ht="13.15" thickBot="1" x14ac:dyDescent="0.4">
      <c r="A37" s="28" t="s">
        <v>161</v>
      </c>
      <c r="B37" t="s">
        <v>29</v>
      </c>
      <c r="C37" t="s">
        <v>192</v>
      </c>
      <c r="D37" s="239">
        <f>Afstemning!D37</f>
        <v>-972</v>
      </c>
      <c r="E37" s="239">
        <f>Afstemning!E37</f>
        <v>-972</v>
      </c>
      <c r="F37" s="239">
        <f>Afstemning!F37</f>
        <v>-971</v>
      </c>
      <c r="G37" s="239">
        <f>Afstemning!G37</f>
        <v>-971</v>
      </c>
      <c r="H37" t="str">
        <f t="shared" si="0"/>
        <v>21. Natur, Miljø og Klima</v>
      </c>
      <c r="I37" t="str">
        <f t="shared" si="1"/>
        <v>Tekniske korrektioner</v>
      </c>
      <c r="J37" s="286">
        <f>D37/D35</f>
        <v>-6.9707471020122938E-2</v>
      </c>
      <c r="K37" s="286">
        <f>E37/E35</f>
        <v>-7.0475684040107039E-2</v>
      </c>
      <c r="L37" s="286">
        <f>F37/F35</f>
        <v>-7.0403188401614886E-2</v>
      </c>
      <c r="M37" s="286">
        <f>G37/G35</f>
        <v>-7.0403188401614886E-2</v>
      </c>
    </row>
    <row r="38" spans="1:13" ht="13.15" thickBot="1" x14ac:dyDescent="0.4">
      <c r="A38" s="28" t="s">
        <v>161</v>
      </c>
      <c r="B38" s="28" t="s">
        <v>107</v>
      </c>
      <c r="C38" t="s">
        <v>192</v>
      </c>
      <c r="D38" s="239">
        <f>Afstemning!D38</f>
        <v>0</v>
      </c>
      <c r="E38" s="239">
        <f>Afstemning!E38</f>
        <v>0</v>
      </c>
      <c r="F38" s="239">
        <f>Afstemning!F38</f>
        <v>0</v>
      </c>
      <c r="G38" s="239">
        <f>Afstemning!G38</f>
        <v>0</v>
      </c>
      <c r="H38" t="str">
        <f t="shared" si="0"/>
        <v>21. Natur, Miljø og Klima</v>
      </c>
      <c r="I38" t="str">
        <f t="shared" si="1"/>
        <v>Afledt drift</v>
      </c>
      <c r="J38" s="286">
        <f>D38/D35</f>
        <v>0</v>
      </c>
      <c r="K38" s="286">
        <f>E38/E35</f>
        <v>0</v>
      </c>
      <c r="L38" s="286">
        <f>F38/F35</f>
        <v>0</v>
      </c>
      <c r="M38" s="286">
        <f>G38/G35</f>
        <v>0</v>
      </c>
    </row>
    <row r="39" spans="1:13" ht="13.15" thickBot="1" x14ac:dyDescent="0.4">
      <c r="A39" s="28" t="s">
        <v>161</v>
      </c>
      <c r="B39" t="s">
        <v>108</v>
      </c>
      <c r="C39" t="s">
        <v>192</v>
      </c>
      <c r="D39" s="239">
        <f>Afstemning!D39</f>
        <v>2900</v>
      </c>
      <c r="E39" s="239">
        <f>Afstemning!E39</f>
        <v>2900</v>
      </c>
      <c r="F39" s="239">
        <f>Afstemning!F39</f>
        <v>2900</v>
      </c>
      <c r="G39" s="239">
        <f>Afstemning!G39</f>
        <v>2900</v>
      </c>
      <c r="H39" t="str">
        <f t="shared" si="0"/>
        <v>21. Natur, Miljø og Klima</v>
      </c>
      <c r="I39" t="str">
        <f t="shared" si="1"/>
        <v>Budgetønsker</v>
      </c>
      <c r="J39" s="286">
        <f>D39/D35</f>
        <v>0.20797496497773305</v>
      </c>
      <c r="K39" s="286">
        <f>E39/E35</f>
        <v>0.21026695855587493</v>
      </c>
      <c r="L39" s="286">
        <f>F39/F35</f>
        <v>0.21026698904704755</v>
      </c>
      <c r="M39" s="286">
        <f>G39/G35</f>
        <v>0.21026698904704755</v>
      </c>
    </row>
    <row r="40" spans="1:13" ht="13.15" thickBot="1" x14ac:dyDescent="0.4">
      <c r="A40" s="28" t="s">
        <v>161</v>
      </c>
      <c r="B40" t="s">
        <v>39</v>
      </c>
      <c r="C40" t="s">
        <v>192</v>
      </c>
      <c r="D40" s="239">
        <f>Afstemning!D40</f>
        <v>-200</v>
      </c>
      <c r="E40" s="239">
        <f>Afstemning!E40</f>
        <v>-200</v>
      </c>
      <c r="F40" s="239">
        <f>Afstemning!F40</f>
        <v>-200</v>
      </c>
      <c r="G40" s="239">
        <f>Afstemning!G40</f>
        <v>-200</v>
      </c>
      <c r="H40" t="str">
        <f t="shared" si="0"/>
        <v>21. Natur, Miljø og Klima</v>
      </c>
      <c r="I40" t="str">
        <f t="shared" si="1"/>
        <v>Finansieringsforslag</v>
      </c>
      <c r="J40" s="286">
        <f>D40/D35</f>
        <v>-1.4343101032947106E-2</v>
      </c>
      <c r="K40" s="286">
        <f>E40/E35</f>
        <v>-1.4501169555577582E-2</v>
      </c>
      <c r="L40" s="286">
        <f>F40/F35</f>
        <v>-1.4501171658417071E-2</v>
      </c>
      <c r="M40" s="286">
        <f>G40/G35</f>
        <v>-1.4501171658417071E-2</v>
      </c>
    </row>
    <row r="41" spans="1:13" x14ac:dyDescent="0.35">
      <c r="A41" s="28" t="s">
        <v>161</v>
      </c>
      <c r="B41" s="28" t="s">
        <v>183</v>
      </c>
      <c r="C41" t="s">
        <v>192</v>
      </c>
      <c r="D41" s="105">
        <f>SUM(D36:D40)</f>
        <v>15671.986000000001</v>
      </c>
      <c r="E41" s="105">
        <f t="shared" ref="E41:F41" si="2">SUM(E36:E40)</f>
        <v>15519.991</v>
      </c>
      <c r="F41" s="105">
        <f t="shared" si="2"/>
        <v>15520.989</v>
      </c>
      <c r="G41" s="105">
        <f>SUM(G36:G40)</f>
        <v>15520.989</v>
      </c>
      <c r="H41" t="str">
        <f t="shared" si="0"/>
        <v>21. Natur, Miljø og Klima</v>
      </c>
      <c r="I41" t="str">
        <f t="shared" si="1"/>
        <v>Vedtaget budget 2020 - 2023</v>
      </c>
      <c r="J41" s="105"/>
      <c r="K41" s="105"/>
      <c r="L41" s="105"/>
      <c r="M41" s="105"/>
    </row>
    <row r="42" spans="1:13" x14ac:dyDescent="0.35">
      <c r="D42" s="105"/>
      <c r="E42" s="105"/>
      <c r="F42" s="105"/>
      <c r="G42" s="105"/>
      <c r="H42">
        <f t="shared" si="0"/>
        <v>0</v>
      </c>
      <c r="I42">
        <f t="shared" si="1"/>
        <v>0</v>
      </c>
      <c r="J42" s="105"/>
      <c r="K42" s="105"/>
      <c r="L42" s="105"/>
      <c r="M42" s="105"/>
    </row>
    <row r="43" spans="1:13" ht="13.15" thickBot="1" x14ac:dyDescent="0.4">
      <c r="D43" s="105"/>
      <c r="E43" s="105"/>
      <c r="F43" s="105"/>
      <c r="G43" s="105"/>
      <c r="H43">
        <f t="shared" si="0"/>
        <v>0</v>
      </c>
      <c r="I43">
        <f t="shared" si="1"/>
        <v>0</v>
      </c>
      <c r="J43" s="105"/>
      <c r="K43" s="105"/>
      <c r="L43" s="105"/>
      <c r="M43" s="105"/>
    </row>
    <row r="44" spans="1:13" ht="13.15" thickBot="1" x14ac:dyDescent="0.4">
      <c r="A44" s="28" t="s">
        <v>136</v>
      </c>
      <c r="B44" t="s">
        <v>189</v>
      </c>
      <c r="C44" s="28" t="s">
        <v>191</v>
      </c>
      <c r="D44" s="239">
        <v>3356.6959999999999</v>
      </c>
      <c r="E44" s="239">
        <v>3358.7150000000001</v>
      </c>
      <c r="F44" s="239">
        <v>3358.7150000000001</v>
      </c>
      <c r="G44" s="239">
        <v>3358.7150000000001</v>
      </c>
      <c r="H44" t="str">
        <f t="shared" si="0"/>
        <v>23. Kirkegårde</v>
      </c>
      <c r="I44" t="str">
        <f t="shared" si="1"/>
        <v>Serviceramme ompr.sag</v>
      </c>
      <c r="J44" s="105"/>
      <c r="K44" s="105"/>
      <c r="L44" s="105"/>
      <c r="M44" s="105"/>
    </row>
    <row r="45" spans="1:13" ht="13.15" thickBot="1" x14ac:dyDescent="0.4">
      <c r="A45" s="28" t="s">
        <v>136</v>
      </c>
      <c r="B45" s="28" t="s">
        <v>185</v>
      </c>
      <c r="C45" s="28" t="s">
        <v>191</v>
      </c>
      <c r="D45" s="239">
        <f>Afstemning!D45</f>
        <v>3356.6959999999999</v>
      </c>
      <c r="E45" s="239">
        <f>Afstemning!E45</f>
        <v>3358.7150000000001</v>
      </c>
      <c r="F45" s="239">
        <f>Afstemning!F45</f>
        <v>3358.7150000000001</v>
      </c>
      <c r="G45" s="239">
        <f>Afstemning!G45</f>
        <v>3358.7150000000001</v>
      </c>
      <c r="H45" t="str">
        <f t="shared" si="0"/>
        <v>23. Kirkegårde</v>
      </c>
      <c r="I45" t="str">
        <f t="shared" si="1"/>
        <v xml:space="preserve">Driftsramme </v>
      </c>
      <c r="J45" s="211"/>
      <c r="K45" s="211"/>
      <c r="L45" s="211"/>
      <c r="M45" s="211"/>
    </row>
    <row r="46" spans="1:13" ht="13.15" thickBot="1" x14ac:dyDescent="0.4">
      <c r="A46" s="28" t="s">
        <v>136</v>
      </c>
      <c r="B46" t="s">
        <v>29</v>
      </c>
      <c r="C46" s="28" t="s">
        <v>191</v>
      </c>
      <c r="D46" s="239">
        <f>Afstemning!D46</f>
        <v>-287</v>
      </c>
      <c r="E46" s="239">
        <f>Afstemning!E46</f>
        <v>-240</v>
      </c>
      <c r="F46" s="239">
        <f>Afstemning!F46</f>
        <v>-240</v>
      </c>
      <c r="G46" s="239">
        <f>Afstemning!G46</f>
        <v>-240</v>
      </c>
      <c r="H46" t="str">
        <f t="shared" si="0"/>
        <v>23. Kirkegårde</v>
      </c>
      <c r="I46" t="str">
        <f t="shared" si="1"/>
        <v>Tekniske korrektioner</v>
      </c>
      <c r="J46" s="286">
        <f>D46/D44</f>
        <v>-8.5500742396690074E-2</v>
      </c>
      <c r="K46" s="286">
        <f>E46/E44</f>
        <v>-7.1455899056633257E-2</v>
      </c>
      <c r="L46" s="286">
        <f>F46/F44</f>
        <v>-7.1455899056633257E-2</v>
      </c>
      <c r="M46" s="286">
        <f>G46/G44</f>
        <v>-7.1455899056633257E-2</v>
      </c>
    </row>
    <row r="47" spans="1:13" ht="13.15" thickBot="1" x14ac:dyDescent="0.4">
      <c r="A47" s="28" t="s">
        <v>136</v>
      </c>
      <c r="B47" s="28" t="s">
        <v>107</v>
      </c>
      <c r="C47" s="28" t="s">
        <v>191</v>
      </c>
      <c r="D47" s="239">
        <f>Afstemning!D47</f>
        <v>0</v>
      </c>
      <c r="E47" s="239">
        <f>Afstemning!E47</f>
        <v>0</v>
      </c>
      <c r="F47" s="239">
        <f>Afstemning!F47</f>
        <v>0</v>
      </c>
      <c r="G47" s="239">
        <f>Afstemning!G47</f>
        <v>0</v>
      </c>
      <c r="H47" t="str">
        <f t="shared" si="0"/>
        <v>23. Kirkegårde</v>
      </c>
      <c r="I47" t="str">
        <f t="shared" si="1"/>
        <v>Afledt drift</v>
      </c>
      <c r="J47" s="286">
        <f>D47/D44</f>
        <v>0</v>
      </c>
      <c r="K47" s="286">
        <f>E47/E44</f>
        <v>0</v>
      </c>
      <c r="L47" s="286">
        <f>F47/F44</f>
        <v>0</v>
      </c>
      <c r="M47" s="286">
        <f>G47/G44</f>
        <v>0</v>
      </c>
    </row>
    <row r="48" spans="1:13" ht="13.15" thickBot="1" x14ac:dyDescent="0.4">
      <c r="A48" s="28" t="s">
        <v>136</v>
      </c>
      <c r="B48" t="s">
        <v>108</v>
      </c>
      <c r="C48" s="28" t="s">
        <v>191</v>
      </c>
      <c r="D48" s="239">
        <f>Afstemning!D48</f>
        <v>0</v>
      </c>
      <c r="E48" s="239">
        <f>Afstemning!E48</f>
        <v>0</v>
      </c>
      <c r="F48" s="239">
        <f>Afstemning!F48</f>
        <v>0</v>
      </c>
      <c r="G48" s="239">
        <f>Afstemning!G48</f>
        <v>0</v>
      </c>
      <c r="H48" t="str">
        <f t="shared" si="0"/>
        <v>23. Kirkegårde</v>
      </c>
      <c r="I48" t="str">
        <f t="shared" si="1"/>
        <v>Budgetønsker</v>
      </c>
      <c r="J48" s="286">
        <f>D48/D44</f>
        <v>0</v>
      </c>
      <c r="K48" s="286">
        <f>E48/E44</f>
        <v>0</v>
      </c>
      <c r="L48" s="286">
        <f>F48/F44</f>
        <v>0</v>
      </c>
      <c r="M48" s="286">
        <f>G48/G44</f>
        <v>0</v>
      </c>
    </row>
    <row r="49" spans="1:13" ht="13.15" thickBot="1" x14ac:dyDescent="0.4">
      <c r="A49" s="28" t="s">
        <v>136</v>
      </c>
      <c r="B49" t="s">
        <v>39</v>
      </c>
      <c r="C49" s="28" t="s">
        <v>191</v>
      </c>
      <c r="D49" s="239">
        <f>Afstemning!D49</f>
        <v>-27</v>
      </c>
      <c r="E49" s="239">
        <f>Afstemning!E49</f>
        <v>-27</v>
      </c>
      <c r="F49" s="239">
        <f>Afstemning!F49</f>
        <v>-27</v>
      </c>
      <c r="G49" s="239">
        <f>Afstemning!G49</f>
        <v>-27</v>
      </c>
      <c r="H49" t="str">
        <f t="shared" si="0"/>
        <v>23. Kirkegårde</v>
      </c>
      <c r="I49" t="str">
        <f t="shared" si="1"/>
        <v>Finansieringsforslag</v>
      </c>
      <c r="J49" s="286">
        <f>D49/D44</f>
        <v>-8.0436238491659665E-3</v>
      </c>
      <c r="K49" s="286">
        <f>E49/E44</f>
        <v>-8.0387886438712426E-3</v>
      </c>
      <c r="L49" s="286">
        <f>F49/F44</f>
        <v>-8.0387886438712426E-3</v>
      </c>
      <c r="M49" s="286">
        <f>G49/G44</f>
        <v>-8.0387886438712426E-3</v>
      </c>
    </row>
    <row r="50" spans="1:13" x14ac:dyDescent="0.35">
      <c r="A50" s="28" t="s">
        <v>136</v>
      </c>
      <c r="B50" s="28" t="s">
        <v>183</v>
      </c>
      <c r="C50" s="28" t="s">
        <v>191</v>
      </c>
      <c r="D50" s="105">
        <f>SUM(D45:D49)</f>
        <v>3042.6959999999999</v>
      </c>
      <c r="E50" s="105">
        <f t="shared" ref="E50:F50" si="3">SUM(E45:E49)</f>
        <v>3091.7150000000001</v>
      </c>
      <c r="F50" s="105">
        <f t="shared" si="3"/>
        <v>3091.7150000000001</v>
      </c>
      <c r="G50" s="105">
        <f>SUM(G45:G49)</f>
        <v>3091.7150000000001</v>
      </c>
      <c r="H50" t="str">
        <f t="shared" si="0"/>
        <v>23. Kirkegårde</v>
      </c>
      <c r="I50" t="str">
        <f t="shared" si="1"/>
        <v>Vedtaget budget 2020 - 2023</v>
      </c>
      <c r="J50" s="105"/>
      <c r="K50" s="105"/>
      <c r="L50" s="105"/>
      <c r="M50" s="105"/>
    </row>
    <row r="51" spans="1:13" x14ac:dyDescent="0.35">
      <c r="D51" s="105"/>
      <c r="E51" s="105"/>
      <c r="F51" s="105"/>
      <c r="G51" s="105"/>
      <c r="H51">
        <f t="shared" si="0"/>
        <v>0</v>
      </c>
      <c r="I51">
        <f t="shared" si="1"/>
        <v>0</v>
      </c>
      <c r="J51" s="105"/>
      <c r="K51" s="105"/>
      <c r="L51" s="105"/>
      <c r="M51" s="105"/>
    </row>
    <row r="52" spans="1:13" ht="13.15" thickBot="1" x14ac:dyDescent="0.4">
      <c r="D52" s="105"/>
      <c r="E52" s="105"/>
      <c r="F52" s="105"/>
      <c r="G52" s="105"/>
      <c r="H52">
        <f t="shared" si="0"/>
        <v>0</v>
      </c>
      <c r="I52">
        <f t="shared" si="1"/>
        <v>0</v>
      </c>
      <c r="J52" s="105"/>
      <c r="K52" s="105"/>
      <c r="L52" s="105"/>
      <c r="M52" s="105"/>
    </row>
    <row r="53" spans="1:13" ht="13.15" thickBot="1" x14ac:dyDescent="0.4">
      <c r="A53" s="28" t="s">
        <v>141</v>
      </c>
      <c r="B53" t="s">
        <v>189</v>
      </c>
      <c r="C53" s="28" t="s">
        <v>191</v>
      </c>
      <c r="D53" s="239">
        <v>-6.2030000000000003</v>
      </c>
      <c r="E53" s="239">
        <v>-6.1790000000000003</v>
      </c>
      <c r="F53" s="239">
        <v>-6.08</v>
      </c>
      <c r="G53" s="239">
        <v>-6.08</v>
      </c>
      <c r="H53" t="str">
        <f t="shared" si="0"/>
        <v>27.Ejendomme - Grøn drift</v>
      </c>
      <c r="I53" t="str">
        <f t="shared" si="1"/>
        <v>Serviceramme ompr.sag</v>
      </c>
      <c r="J53" s="105"/>
      <c r="K53" s="105"/>
      <c r="L53" s="105"/>
      <c r="M53" s="105"/>
    </row>
    <row r="54" spans="1:13" ht="13.15" thickBot="1" x14ac:dyDescent="0.4">
      <c r="A54" s="28" t="s">
        <v>141</v>
      </c>
      <c r="B54" s="28" t="s">
        <v>185</v>
      </c>
      <c r="C54" s="28" t="s">
        <v>191</v>
      </c>
      <c r="D54" s="239">
        <f>Afstemning!D54</f>
        <v>-6.2030000000000003</v>
      </c>
      <c r="E54" s="239">
        <f>Afstemning!E54</f>
        <v>-6.1790000000000003</v>
      </c>
      <c r="F54" s="239">
        <f>Afstemning!F54</f>
        <v>-6.08</v>
      </c>
      <c r="G54" s="239">
        <f>Afstemning!G54</f>
        <v>-6.08</v>
      </c>
      <c r="H54" t="str">
        <f t="shared" si="0"/>
        <v>27.Ejendomme - Grøn drift</v>
      </c>
      <c r="I54" t="str">
        <f t="shared" si="1"/>
        <v xml:space="preserve">Driftsramme </v>
      </c>
      <c r="J54" s="211"/>
      <c r="K54" s="211"/>
      <c r="L54" s="211"/>
      <c r="M54" s="211"/>
    </row>
    <row r="55" spans="1:13" ht="13.15" thickBot="1" x14ac:dyDescent="0.4">
      <c r="A55" s="28" t="s">
        <v>141</v>
      </c>
      <c r="B55" t="s">
        <v>29</v>
      </c>
      <c r="C55" s="28" t="s">
        <v>191</v>
      </c>
      <c r="D55" s="239">
        <f>Afstemning!D55</f>
        <v>1388</v>
      </c>
      <c r="E55" s="239">
        <f>Afstemning!E55</f>
        <v>1389</v>
      </c>
      <c r="F55" s="239">
        <f>Afstemning!F55</f>
        <v>1390</v>
      </c>
      <c r="G55" s="239">
        <f>Afstemning!G55</f>
        <v>1391</v>
      </c>
      <c r="H55" t="str">
        <f t="shared" si="0"/>
        <v>27.Ejendomme - Grøn drift</v>
      </c>
      <c r="I55" t="str">
        <f t="shared" si="1"/>
        <v>Tekniske korrektioner</v>
      </c>
      <c r="J55" s="286">
        <f>D55/D53</f>
        <v>-223.7626954699339</v>
      </c>
      <c r="K55" s="286">
        <f>E55/E53</f>
        <v>-224.79365593138047</v>
      </c>
      <c r="L55" s="286">
        <f>F55/F53</f>
        <v>-228.61842105263159</v>
      </c>
      <c r="M55" s="286">
        <f>G55/G53</f>
        <v>-228.78289473684211</v>
      </c>
    </row>
    <row r="56" spans="1:13" ht="13.15" thickBot="1" x14ac:dyDescent="0.4">
      <c r="A56" s="28" t="s">
        <v>141</v>
      </c>
      <c r="B56" s="28" t="s">
        <v>107</v>
      </c>
      <c r="C56" s="28" t="s">
        <v>191</v>
      </c>
      <c r="D56" s="239">
        <f>Afstemning!D56</f>
        <v>0</v>
      </c>
      <c r="E56" s="239">
        <f>Afstemning!E56</f>
        <v>0</v>
      </c>
      <c r="F56" s="239">
        <f>Afstemning!F56</f>
        <v>0</v>
      </c>
      <c r="G56" s="239">
        <f>Afstemning!G56</f>
        <v>0</v>
      </c>
      <c r="H56" t="str">
        <f t="shared" si="0"/>
        <v>27.Ejendomme - Grøn drift</v>
      </c>
      <c r="I56" t="str">
        <f t="shared" si="1"/>
        <v>Afledt drift</v>
      </c>
      <c r="J56" s="286">
        <f>D56/D53</f>
        <v>0</v>
      </c>
      <c r="K56" s="286">
        <f>E56/E53</f>
        <v>0</v>
      </c>
      <c r="L56" s="286">
        <f>F56/F53</f>
        <v>0</v>
      </c>
      <c r="M56" s="286">
        <f>G56/G53</f>
        <v>0</v>
      </c>
    </row>
    <row r="57" spans="1:13" ht="13.15" thickBot="1" x14ac:dyDescent="0.4">
      <c r="A57" s="28" t="s">
        <v>141</v>
      </c>
      <c r="B57" t="s">
        <v>108</v>
      </c>
      <c r="C57" s="28" t="s">
        <v>191</v>
      </c>
      <c r="D57" s="239">
        <f>Afstemning!D57</f>
        <v>0</v>
      </c>
      <c r="E57" s="239">
        <f>Afstemning!E57</f>
        <v>0</v>
      </c>
      <c r="F57" s="239">
        <f>Afstemning!F57</f>
        <v>0</v>
      </c>
      <c r="G57" s="239">
        <f>Afstemning!G57</f>
        <v>0</v>
      </c>
      <c r="H57" t="str">
        <f t="shared" si="0"/>
        <v>27.Ejendomme - Grøn drift</v>
      </c>
      <c r="I57" t="str">
        <f t="shared" si="1"/>
        <v>Budgetønsker</v>
      </c>
      <c r="J57" s="286">
        <f>D57/D53</f>
        <v>0</v>
      </c>
      <c r="K57" s="286">
        <f>E57/E53</f>
        <v>0</v>
      </c>
      <c r="L57" s="286">
        <f>F57/F53</f>
        <v>0</v>
      </c>
      <c r="M57" s="286">
        <f>G57/G53</f>
        <v>0</v>
      </c>
    </row>
    <row r="58" spans="1:13" ht="13.15" thickBot="1" x14ac:dyDescent="0.4">
      <c r="A58" s="28" t="s">
        <v>141</v>
      </c>
      <c r="B58" t="s">
        <v>39</v>
      </c>
      <c r="C58" s="28" t="s">
        <v>191</v>
      </c>
      <c r="D58" s="239">
        <f>Afstemning!D58</f>
        <v>0</v>
      </c>
      <c r="E58" s="239">
        <f>Afstemning!E58</f>
        <v>0</v>
      </c>
      <c r="F58" s="239">
        <f>Afstemning!F58</f>
        <v>0</v>
      </c>
      <c r="G58" s="239">
        <f>Afstemning!G58</f>
        <v>0</v>
      </c>
      <c r="H58" t="str">
        <f t="shared" si="0"/>
        <v>27.Ejendomme - Grøn drift</v>
      </c>
      <c r="I58" t="str">
        <f t="shared" si="1"/>
        <v>Finansieringsforslag</v>
      </c>
      <c r="J58" s="286">
        <f>D58/D53</f>
        <v>0</v>
      </c>
      <c r="K58" s="286">
        <f>E58/E53</f>
        <v>0</v>
      </c>
      <c r="L58" s="286">
        <f>F58/F53</f>
        <v>0</v>
      </c>
      <c r="M58" s="286">
        <f>G58/G53</f>
        <v>0</v>
      </c>
    </row>
    <row r="59" spans="1:13" x14ac:dyDescent="0.35">
      <c r="A59" s="28" t="s">
        <v>141</v>
      </c>
      <c r="B59" s="28" t="s">
        <v>183</v>
      </c>
      <c r="C59" s="28" t="s">
        <v>191</v>
      </c>
      <c r="D59" s="105">
        <f>SUM(D54:D58)</f>
        <v>1381.797</v>
      </c>
      <c r="E59" s="105">
        <f>SUM(E54:E58)</f>
        <v>1382.8209999999999</v>
      </c>
      <c r="F59" s="105">
        <f>SUM(F54:F58)</f>
        <v>1383.92</v>
      </c>
      <c r="G59" s="105">
        <f>SUM(G54:G58)</f>
        <v>1384.92</v>
      </c>
      <c r="H59" t="str">
        <f t="shared" si="0"/>
        <v>27.Ejendomme - Grøn drift</v>
      </c>
      <c r="I59" t="str">
        <f t="shared" si="1"/>
        <v>Vedtaget budget 2020 - 2023</v>
      </c>
      <c r="J59" s="105"/>
      <c r="K59" s="105"/>
      <c r="L59" s="105"/>
      <c r="M59" s="105"/>
    </row>
    <row r="60" spans="1:13" x14ac:dyDescent="0.35">
      <c r="D60" s="105"/>
      <c r="E60" s="105"/>
      <c r="F60" s="105"/>
      <c r="G60" s="105"/>
      <c r="H60">
        <f t="shared" si="0"/>
        <v>0</v>
      </c>
      <c r="I60">
        <f t="shared" si="1"/>
        <v>0</v>
      </c>
      <c r="J60" s="105"/>
      <c r="K60" s="105"/>
      <c r="L60" s="105"/>
      <c r="M60" s="105"/>
    </row>
    <row r="61" spans="1:13" ht="13.15" thickBot="1" x14ac:dyDescent="0.4">
      <c r="D61" s="105"/>
      <c r="E61" s="105"/>
      <c r="F61" s="105"/>
      <c r="G61" s="105"/>
      <c r="H61">
        <f t="shared" si="0"/>
        <v>0</v>
      </c>
      <c r="I61">
        <f t="shared" si="1"/>
        <v>0</v>
      </c>
      <c r="J61" s="105"/>
      <c r="K61" s="105"/>
      <c r="L61" s="105"/>
      <c r="M61" s="105"/>
    </row>
    <row r="62" spans="1:13" ht="13.15" thickBot="1" x14ac:dyDescent="0.4">
      <c r="A62" s="28" t="s">
        <v>458</v>
      </c>
      <c r="B62" t="s">
        <v>189</v>
      </c>
      <c r="C62" s="28" t="s">
        <v>464</v>
      </c>
      <c r="D62" s="239">
        <v>1227.825</v>
      </c>
      <c r="E62" s="239">
        <v>1227.825</v>
      </c>
      <c r="F62" s="239">
        <v>1227.825</v>
      </c>
      <c r="G62" s="239">
        <v>1227.825</v>
      </c>
      <c r="H62" t="str">
        <f t="shared" si="0"/>
        <v>28. By og Miljø</v>
      </c>
      <c r="I62" t="str">
        <f t="shared" si="1"/>
        <v>Serviceramme ompr.sag</v>
      </c>
      <c r="J62" s="105"/>
      <c r="K62" s="105"/>
      <c r="L62" s="105"/>
      <c r="M62" s="105"/>
    </row>
    <row r="63" spans="1:13" ht="13.15" thickBot="1" x14ac:dyDescent="0.4">
      <c r="A63" s="28" t="s">
        <v>458</v>
      </c>
      <c r="B63" s="28" t="s">
        <v>185</v>
      </c>
      <c r="C63" s="28" t="s">
        <v>464</v>
      </c>
      <c r="D63" s="239">
        <f>Afstemning!D63</f>
        <v>1227.825</v>
      </c>
      <c r="E63" s="239">
        <f>Afstemning!E63</f>
        <v>1227.825</v>
      </c>
      <c r="F63" s="239">
        <f>Afstemning!F63</f>
        <v>1227.825</v>
      </c>
      <c r="G63" s="239">
        <f>Afstemning!G63</f>
        <v>1227.825</v>
      </c>
      <c r="H63" t="str">
        <f t="shared" si="0"/>
        <v>28. By og Miljø</v>
      </c>
      <c r="I63" t="str">
        <f t="shared" si="1"/>
        <v xml:space="preserve">Driftsramme </v>
      </c>
      <c r="J63" s="211"/>
      <c r="K63" s="211"/>
      <c r="L63" s="211"/>
      <c r="M63" s="211"/>
    </row>
    <row r="64" spans="1:13" ht="13.15" thickBot="1" x14ac:dyDescent="0.4">
      <c r="A64" s="28" t="s">
        <v>458</v>
      </c>
      <c r="B64" t="s">
        <v>29</v>
      </c>
      <c r="C64" s="28" t="s">
        <v>464</v>
      </c>
      <c r="D64" s="239">
        <f>Afstemning!D64</f>
        <v>-142</v>
      </c>
      <c r="E64" s="239">
        <f>Afstemning!E64</f>
        <v>-142</v>
      </c>
      <c r="F64" s="239">
        <f>Afstemning!F64</f>
        <v>-142</v>
      </c>
      <c r="G64" s="239">
        <f>Afstemning!G64</f>
        <v>-142</v>
      </c>
      <c r="H64" t="str">
        <f t="shared" si="0"/>
        <v>28. By og Miljø</v>
      </c>
      <c r="I64" t="str">
        <f t="shared" si="1"/>
        <v>Tekniske korrektioner</v>
      </c>
      <c r="J64" s="286">
        <f>D64/D62</f>
        <v>-0.11565166045649827</v>
      </c>
      <c r="K64" s="286">
        <f>E64/E62</f>
        <v>-0.11565166045649827</v>
      </c>
      <c r="L64" s="286">
        <f>F64/F62</f>
        <v>-0.11565166045649827</v>
      </c>
      <c r="M64" s="286">
        <f>G64/G62</f>
        <v>-0.11565166045649827</v>
      </c>
    </row>
    <row r="65" spans="1:13" ht="13.15" thickBot="1" x14ac:dyDescent="0.4">
      <c r="A65" s="28" t="s">
        <v>458</v>
      </c>
      <c r="B65" s="28" t="s">
        <v>107</v>
      </c>
      <c r="C65" s="28" t="s">
        <v>464</v>
      </c>
      <c r="D65" s="239">
        <f>Afstemning!D65</f>
        <v>0</v>
      </c>
      <c r="E65" s="239">
        <f>Afstemning!E65</f>
        <v>0</v>
      </c>
      <c r="F65" s="239">
        <f>Afstemning!F65</f>
        <v>0</v>
      </c>
      <c r="G65" s="239">
        <f>Afstemning!G65</f>
        <v>0</v>
      </c>
      <c r="H65" t="str">
        <f t="shared" si="0"/>
        <v>28. By og Miljø</v>
      </c>
      <c r="I65" t="str">
        <f t="shared" si="1"/>
        <v>Afledt drift</v>
      </c>
      <c r="J65" s="286">
        <f>D65/D62</f>
        <v>0</v>
      </c>
      <c r="K65" s="286">
        <f>E65/E62</f>
        <v>0</v>
      </c>
      <c r="L65" s="286">
        <f>F65/F62</f>
        <v>0</v>
      </c>
      <c r="M65" s="286">
        <f>G65/G62</f>
        <v>0</v>
      </c>
    </row>
    <row r="66" spans="1:13" ht="13.15" thickBot="1" x14ac:dyDescent="0.4">
      <c r="A66" s="28" t="s">
        <v>458</v>
      </c>
      <c r="B66" t="s">
        <v>108</v>
      </c>
      <c r="C66" s="28" t="s">
        <v>464</v>
      </c>
      <c r="D66" s="239">
        <f>Afstemning!D66</f>
        <v>64</v>
      </c>
      <c r="E66" s="239">
        <f>Afstemning!E66</f>
        <v>100</v>
      </c>
      <c r="F66" s="239">
        <f>Afstemning!F66</f>
        <v>100</v>
      </c>
      <c r="G66" s="239">
        <f>Afstemning!G66</f>
        <v>100</v>
      </c>
      <c r="H66" t="str">
        <f t="shared" si="0"/>
        <v>28. By og Miljø</v>
      </c>
      <c r="I66" t="str">
        <f t="shared" si="1"/>
        <v>Budgetønsker</v>
      </c>
      <c r="J66" s="286">
        <f>D66/D62</f>
        <v>5.2124692036731618E-2</v>
      </c>
      <c r="K66" s="286">
        <f>E66/E62</f>
        <v>8.1444831307393148E-2</v>
      </c>
      <c r="L66" s="286">
        <f>F66/F62</f>
        <v>8.1444831307393148E-2</v>
      </c>
      <c r="M66" s="286">
        <f>G66/G62</f>
        <v>8.1444831307393148E-2</v>
      </c>
    </row>
    <row r="67" spans="1:13" ht="13.15" thickBot="1" x14ac:dyDescent="0.4">
      <c r="A67" s="28" t="s">
        <v>458</v>
      </c>
      <c r="B67" t="s">
        <v>39</v>
      </c>
      <c r="C67" s="28" t="s">
        <v>464</v>
      </c>
      <c r="D67" s="239">
        <f>Afstemning!D67</f>
        <v>-16</v>
      </c>
      <c r="E67" s="239">
        <f>Afstemning!E67</f>
        <v>-16</v>
      </c>
      <c r="F67" s="239">
        <f>Afstemning!F67</f>
        <v>-16</v>
      </c>
      <c r="G67" s="239">
        <f>Afstemning!G67</f>
        <v>-16</v>
      </c>
      <c r="H67" t="str">
        <f t="shared" si="0"/>
        <v>28. By og Miljø</v>
      </c>
      <c r="I67" t="str">
        <f t="shared" si="1"/>
        <v>Finansieringsforslag</v>
      </c>
      <c r="J67" s="286">
        <f>D67/D62</f>
        <v>-1.3031173009182904E-2</v>
      </c>
      <c r="K67" s="286">
        <f>E67/E62</f>
        <v>-1.3031173009182904E-2</v>
      </c>
      <c r="L67" s="286">
        <f>F67/F62</f>
        <v>-1.3031173009182904E-2</v>
      </c>
      <c r="M67" s="286">
        <f>G67/G62</f>
        <v>-1.3031173009182904E-2</v>
      </c>
    </row>
    <row r="68" spans="1:13" x14ac:dyDescent="0.35">
      <c r="A68" s="28" t="s">
        <v>458</v>
      </c>
      <c r="B68" s="28" t="s">
        <v>183</v>
      </c>
      <c r="C68" s="28" t="s">
        <v>464</v>
      </c>
      <c r="D68" s="105">
        <f>SUM(D63:D67)</f>
        <v>1133.825</v>
      </c>
      <c r="E68" s="105">
        <f>SUM(E63:E67)</f>
        <v>1169.825</v>
      </c>
      <c r="F68" s="105">
        <f>SUM(F63:F67)</f>
        <v>1169.825</v>
      </c>
      <c r="G68" s="105">
        <f>SUM(G63:G67)</f>
        <v>1169.825</v>
      </c>
      <c r="H68" t="str">
        <f t="shared" si="0"/>
        <v>28. By og Miljø</v>
      </c>
      <c r="I68" t="str">
        <f t="shared" si="1"/>
        <v>Vedtaget budget 2020 - 2023</v>
      </c>
      <c r="J68" s="105"/>
      <c r="K68" s="105"/>
      <c r="L68" s="105"/>
      <c r="M68" s="105"/>
    </row>
    <row r="69" spans="1:13" x14ac:dyDescent="0.35">
      <c r="D69" s="105"/>
      <c r="E69" s="105"/>
      <c r="F69" s="105"/>
      <c r="G69" s="105"/>
      <c r="H69">
        <f t="shared" ref="H69:H126" si="4">A69</f>
        <v>0</v>
      </c>
      <c r="I69">
        <f t="shared" ref="I69:I127" si="5">B69</f>
        <v>0</v>
      </c>
      <c r="J69" s="105"/>
      <c r="K69" s="105"/>
      <c r="L69" s="105"/>
      <c r="M69" s="105"/>
    </row>
    <row r="70" spans="1:13" ht="13.15" thickBot="1" x14ac:dyDescent="0.4">
      <c r="D70" s="105"/>
      <c r="E70" s="105"/>
      <c r="F70" s="105"/>
      <c r="G70" s="105"/>
      <c r="H70">
        <f t="shared" si="4"/>
        <v>0</v>
      </c>
      <c r="I70">
        <f t="shared" si="5"/>
        <v>0</v>
      </c>
      <c r="J70" s="105"/>
      <c r="K70" s="105"/>
      <c r="L70" s="105"/>
      <c r="M70" s="105"/>
    </row>
    <row r="71" spans="1:13" ht="13.15" thickBot="1" x14ac:dyDescent="0.4">
      <c r="A71" t="s">
        <v>442</v>
      </c>
      <c r="B71" t="s">
        <v>189</v>
      </c>
      <c r="C71" s="28" t="s">
        <v>457</v>
      </c>
      <c r="D71" s="239">
        <v>1587.9480000000001</v>
      </c>
      <c r="E71" s="239">
        <v>1587.9480000000001</v>
      </c>
      <c r="F71" s="239">
        <v>1587.9480000000001</v>
      </c>
      <c r="G71" s="239">
        <v>1587.9480000000001</v>
      </c>
      <c r="H71" t="str">
        <f t="shared" si="4"/>
        <v>31. Beskæftigelsesindsats</v>
      </c>
      <c r="I71" t="str">
        <f t="shared" si="5"/>
        <v>Serviceramme ompr.sag</v>
      </c>
      <c r="J71" s="105"/>
      <c r="K71" s="105"/>
      <c r="L71" s="105"/>
      <c r="M71" s="105"/>
    </row>
    <row r="72" spans="1:13" ht="13.15" thickBot="1" x14ac:dyDescent="0.4">
      <c r="A72" t="s">
        <v>442</v>
      </c>
      <c r="B72" s="28" t="s">
        <v>185</v>
      </c>
      <c r="C72" s="28" t="s">
        <v>457</v>
      </c>
      <c r="D72" s="239">
        <f>Afstemning!D79</f>
        <v>30653.416000000001</v>
      </c>
      <c r="E72" s="239">
        <f>Afstemning!E79</f>
        <v>29642.41</v>
      </c>
      <c r="F72" s="239">
        <f>Afstemning!F79</f>
        <v>29404.025000000001</v>
      </c>
      <c r="G72" s="239">
        <f>Afstemning!G79</f>
        <v>29404.025000000001</v>
      </c>
      <c r="H72" t="str">
        <f t="shared" si="4"/>
        <v>31. Beskæftigelsesindsats</v>
      </c>
      <c r="I72" t="str">
        <f t="shared" si="5"/>
        <v xml:space="preserve">Driftsramme </v>
      </c>
      <c r="J72" s="211"/>
      <c r="K72" s="211"/>
      <c r="L72" s="211"/>
      <c r="M72" s="211"/>
    </row>
    <row r="73" spans="1:13" ht="13.15" thickBot="1" x14ac:dyDescent="0.4">
      <c r="A73" t="s">
        <v>442</v>
      </c>
      <c r="B73" t="s">
        <v>29</v>
      </c>
      <c r="C73" s="28" t="s">
        <v>457</v>
      </c>
      <c r="D73" s="239">
        <f>Afstemning!D80</f>
        <v>-1550</v>
      </c>
      <c r="E73" s="239">
        <f>Afstemning!E80</f>
        <v>197</v>
      </c>
      <c r="F73" s="239">
        <f>Afstemning!F80</f>
        <v>-2000</v>
      </c>
      <c r="G73" s="239">
        <f>Afstemning!G80</f>
        <v>426</v>
      </c>
      <c r="H73" t="str">
        <f t="shared" si="4"/>
        <v>31. Beskæftigelsesindsats</v>
      </c>
      <c r="I73" t="str">
        <f t="shared" si="5"/>
        <v>Tekniske korrektioner</v>
      </c>
      <c r="J73" s="286">
        <f>D73/D71</f>
        <v>-0.97610249202114929</v>
      </c>
      <c r="K73" s="286">
        <f>E73/E71</f>
        <v>0.12405947801817187</v>
      </c>
      <c r="L73" s="286">
        <f>F73/F71</f>
        <v>-1.2594870864789023</v>
      </c>
      <c r="M73" s="286">
        <f>G73/G71</f>
        <v>0.26827074942000617</v>
      </c>
    </row>
    <row r="74" spans="1:13" ht="13.15" thickBot="1" x14ac:dyDescent="0.4">
      <c r="A74" t="s">
        <v>442</v>
      </c>
      <c r="B74" s="28" t="s">
        <v>107</v>
      </c>
      <c r="C74" s="28" t="s">
        <v>457</v>
      </c>
      <c r="D74" s="239">
        <f>Afstemning!D81</f>
        <v>0</v>
      </c>
      <c r="E74" s="239">
        <f>Afstemning!E81</f>
        <v>0</v>
      </c>
      <c r="F74" s="239">
        <f>Afstemning!F81</f>
        <v>0</v>
      </c>
      <c r="G74" s="239">
        <f>Afstemning!G81</f>
        <v>0</v>
      </c>
      <c r="H74" t="str">
        <f t="shared" si="4"/>
        <v>31. Beskæftigelsesindsats</v>
      </c>
      <c r="I74" t="str">
        <f t="shared" si="5"/>
        <v>Afledt drift</v>
      </c>
      <c r="J74" s="286">
        <f>D74/D71</f>
        <v>0</v>
      </c>
      <c r="K74" s="286">
        <f>E74/E71</f>
        <v>0</v>
      </c>
      <c r="L74" s="286">
        <f>F74/F71</f>
        <v>0</v>
      </c>
      <c r="M74" s="286">
        <f>G74/G71</f>
        <v>0</v>
      </c>
    </row>
    <row r="75" spans="1:13" ht="13.15" thickBot="1" x14ac:dyDescent="0.4">
      <c r="A75" t="s">
        <v>442</v>
      </c>
      <c r="B75" t="s">
        <v>108</v>
      </c>
      <c r="C75" s="28" t="s">
        <v>457</v>
      </c>
      <c r="D75" s="239">
        <f>Afstemning!D82</f>
        <v>0</v>
      </c>
      <c r="E75" s="239">
        <f>Afstemning!E82</f>
        <v>0</v>
      </c>
      <c r="F75" s="239">
        <f>Afstemning!F82</f>
        <v>0</v>
      </c>
      <c r="G75" s="239">
        <f>Afstemning!G82</f>
        <v>0</v>
      </c>
      <c r="H75" t="str">
        <f t="shared" si="4"/>
        <v>31. Beskæftigelsesindsats</v>
      </c>
      <c r="I75" t="str">
        <f t="shared" si="5"/>
        <v>Budgetønsker</v>
      </c>
      <c r="J75" s="286">
        <f>D75/D71</f>
        <v>0</v>
      </c>
      <c r="K75" s="286">
        <f>E75/E71</f>
        <v>0</v>
      </c>
      <c r="L75" s="286">
        <f>F75/F71</f>
        <v>0</v>
      </c>
      <c r="M75" s="286">
        <f>G75/G71</f>
        <v>0</v>
      </c>
    </row>
    <row r="76" spans="1:13" ht="13.15" thickBot="1" x14ac:dyDescent="0.4">
      <c r="A76" t="s">
        <v>442</v>
      </c>
      <c r="B76" t="s">
        <v>39</v>
      </c>
      <c r="C76" s="28" t="s">
        <v>457</v>
      </c>
      <c r="D76" s="239">
        <f>Afstemning!D83</f>
        <v>-50</v>
      </c>
      <c r="E76" s="239">
        <f>Afstemning!E83</f>
        <v>-50</v>
      </c>
      <c r="F76" s="239">
        <f>Afstemning!F83</f>
        <v>-50</v>
      </c>
      <c r="G76" s="239">
        <f>Afstemning!G83</f>
        <v>-50</v>
      </c>
      <c r="H76" t="str">
        <f t="shared" si="4"/>
        <v>31. Beskæftigelsesindsats</v>
      </c>
      <c r="I76" t="str">
        <f t="shared" si="5"/>
        <v>Finansieringsforslag</v>
      </c>
      <c r="J76" s="286">
        <f>D76/D71</f>
        <v>-3.1487177161972559E-2</v>
      </c>
      <c r="K76" s="286">
        <f>E76/E71</f>
        <v>-3.1487177161972559E-2</v>
      </c>
      <c r="L76" s="286">
        <f>F76/F71</f>
        <v>-3.1487177161972559E-2</v>
      </c>
      <c r="M76" s="286">
        <f>G76/G71</f>
        <v>-3.1487177161972559E-2</v>
      </c>
    </row>
    <row r="77" spans="1:13" x14ac:dyDescent="0.35">
      <c r="A77" t="s">
        <v>442</v>
      </c>
      <c r="B77" s="28" t="s">
        <v>183</v>
      </c>
      <c r="C77" s="28" t="s">
        <v>457</v>
      </c>
      <c r="D77" s="105">
        <f>SUM(D72:D76)</f>
        <v>29053.416000000001</v>
      </c>
      <c r="E77" s="105">
        <f>SUM(E72:E76)</f>
        <v>29789.41</v>
      </c>
      <c r="F77" s="105">
        <f>SUM(F72:F76)</f>
        <v>27354.025000000001</v>
      </c>
      <c r="G77" s="105">
        <f>SUM(G72:G76)</f>
        <v>29780.025000000001</v>
      </c>
      <c r="H77" t="str">
        <f t="shared" si="4"/>
        <v>31. Beskæftigelsesindsats</v>
      </c>
      <c r="I77" t="str">
        <f t="shared" si="5"/>
        <v>Vedtaget budget 2020 - 2023</v>
      </c>
      <c r="J77" s="105"/>
      <c r="K77" s="105"/>
      <c r="L77" s="105"/>
      <c r="M77" s="105"/>
    </row>
    <row r="78" spans="1:13" x14ac:dyDescent="0.35">
      <c r="D78" s="105"/>
      <c r="E78" s="105"/>
      <c r="F78" s="105"/>
      <c r="G78" s="105"/>
      <c r="H78">
        <f t="shared" si="4"/>
        <v>0</v>
      </c>
      <c r="I78">
        <f t="shared" si="5"/>
        <v>0</v>
      </c>
      <c r="J78" s="105"/>
      <c r="K78" s="105"/>
      <c r="L78" s="105"/>
      <c r="M78" s="105"/>
    </row>
    <row r="79" spans="1:13" ht="13.15" thickBot="1" x14ac:dyDescent="0.4">
      <c r="D79" s="105"/>
      <c r="E79" s="105"/>
      <c r="F79" s="105"/>
      <c r="G79" s="105"/>
      <c r="H79">
        <f t="shared" si="4"/>
        <v>0</v>
      </c>
      <c r="I79">
        <f t="shared" si="5"/>
        <v>0</v>
      </c>
      <c r="J79" s="105"/>
      <c r="K79" s="105"/>
      <c r="L79" s="105"/>
      <c r="M79" s="105"/>
    </row>
    <row r="80" spans="1:13" ht="13.15" thickBot="1" x14ac:dyDescent="0.4">
      <c r="A80" s="28" t="s">
        <v>443</v>
      </c>
      <c r="B80" t="s">
        <v>189</v>
      </c>
      <c r="C80" s="28" t="s">
        <v>463</v>
      </c>
      <c r="D80" s="239">
        <v>377259.40899999999</v>
      </c>
      <c r="E80" s="239">
        <v>371241.21100000001</v>
      </c>
      <c r="F80" s="239">
        <v>365373.96299999999</v>
      </c>
      <c r="G80" s="239">
        <v>365373.96299999999</v>
      </c>
      <c r="H80" t="str">
        <f t="shared" si="4"/>
        <v>32. Specialiseret voksenområde</v>
      </c>
      <c r="I80" t="str">
        <f t="shared" si="5"/>
        <v>Serviceramme ompr.sag</v>
      </c>
      <c r="J80" s="105"/>
      <c r="K80" s="105"/>
      <c r="L80" s="105"/>
      <c r="M80" s="105"/>
    </row>
    <row r="81" spans="1:13" ht="13.15" thickBot="1" x14ac:dyDescent="0.4">
      <c r="A81" s="28" t="s">
        <v>443</v>
      </c>
      <c r="B81" s="28" t="s">
        <v>185</v>
      </c>
      <c r="C81" s="28" t="s">
        <v>463</v>
      </c>
      <c r="D81" s="239">
        <f>Afstemning!D88</f>
        <v>399968.17099999997</v>
      </c>
      <c r="E81" s="239">
        <f>Afstemning!E88</f>
        <v>394114.038</v>
      </c>
      <c r="F81" s="239">
        <f>Afstemning!F88</f>
        <v>388246.79</v>
      </c>
      <c r="G81" s="239">
        <f>Afstemning!G88</f>
        <v>388246.79</v>
      </c>
      <c r="H81" t="str">
        <f t="shared" si="4"/>
        <v>32. Specialiseret voksenområde</v>
      </c>
      <c r="I81" t="str">
        <f t="shared" si="5"/>
        <v xml:space="preserve">Driftsramme </v>
      </c>
      <c r="J81" s="211"/>
      <c r="K81" s="211"/>
      <c r="L81" s="211"/>
      <c r="M81" s="211"/>
    </row>
    <row r="82" spans="1:13" ht="13.15" thickBot="1" x14ac:dyDescent="0.4">
      <c r="A82" s="28" t="s">
        <v>443</v>
      </c>
      <c r="B82" t="s">
        <v>29</v>
      </c>
      <c r="C82" s="28" t="s">
        <v>463</v>
      </c>
      <c r="D82" s="239">
        <f>Afstemning!D89</f>
        <v>-1679</v>
      </c>
      <c r="E82" s="239">
        <f>Afstemning!E89</f>
        <v>-118</v>
      </c>
      <c r="F82" s="239">
        <f>Afstemning!F89</f>
        <v>433</v>
      </c>
      <c r="G82" s="239">
        <f>Afstemning!G89</f>
        <v>419</v>
      </c>
      <c r="H82" t="str">
        <f t="shared" si="4"/>
        <v>32. Specialiseret voksenområde</v>
      </c>
      <c r="I82" t="str">
        <f t="shared" si="5"/>
        <v>Tekniske korrektioner</v>
      </c>
      <c r="J82" s="286">
        <f>D82/D80</f>
        <v>-4.4505185555226276E-3</v>
      </c>
      <c r="K82" s="286">
        <f>E82/E80</f>
        <v>-3.1785264271212607E-4</v>
      </c>
      <c r="L82" s="286">
        <f>F82/F80</f>
        <v>1.1850871814858904E-3</v>
      </c>
      <c r="M82" s="286">
        <f>G82/G80</f>
        <v>1.1467702749251457E-3</v>
      </c>
    </row>
    <row r="83" spans="1:13" ht="13.15" thickBot="1" x14ac:dyDescent="0.4">
      <c r="A83" s="28" t="s">
        <v>443</v>
      </c>
      <c r="B83" s="28" t="s">
        <v>107</v>
      </c>
      <c r="C83" s="28" t="s">
        <v>463</v>
      </c>
      <c r="D83" s="239">
        <f>Afstemning!D90</f>
        <v>0</v>
      </c>
      <c r="E83" s="239">
        <f>Afstemning!E90</f>
        <v>0</v>
      </c>
      <c r="F83" s="239">
        <f>Afstemning!F90</f>
        <v>0</v>
      </c>
      <c r="G83" s="239">
        <f>Afstemning!G90</f>
        <v>0</v>
      </c>
      <c r="H83" t="str">
        <f t="shared" si="4"/>
        <v>32. Specialiseret voksenområde</v>
      </c>
      <c r="I83" t="str">
        <f t="shared" si="5"/>
        <v>Afledt drift</v>
      </c>
      <c r="J83" s="286">
        <f>D83/D80</f>
        <v>0</v>
      </c>
      <c r="K83" s="286">
        <f>E83/E80</f>
        <v>0</v>
      </c>
      <c r="L83" s="286">
        <f>F83/F80</f>
        <v>0</v>
      </c>
      <c r="M83" s="286">
        <f>G83/G80</f>
        <v>0</v>
      </c>
    </row>
    <row r="84" spans="1:13" ht="13.15" thickBot="1" x14ac:dyDescent="0.4">
      <c r="A84" s="28" t="s">
        <v>443</v>
      </c>
      <c r="B84" t="s">
        <v>108</v>
      </c>
      <c r="C84" s="28" t="s">
        <v>463</v>
      </c>
      <c r="D84" s="239">
        <f>Afstemning!D91</f>
        <v>11641</v>
      </c>
      <c r="E84" s="239">
        <f>Afstemning!E91</f>
        <v>21791</v>
      </c>
      <c r="F84" s="239">
        <f>Afstemning!F91</f>
        <v>20853</v>
      </c>
      <c r="G84" s="239">
        <f>Afstemning!G91</f>
        <v>14202</v>
      </c>
      <c r="H84" t="str">
        <f t="shared" si="4"/>
        <v>32. Specialiseret voksenområde</v>
      </c>
      <c r="I84" t="str">
        <f t="shared" si="5"/>
        <v>Budgetønsker</v>
      </c>
      <c r="J84" s="286">
        <f>D84/D80</f>
        <v>3.0856751938558014E-2</v>
      </c>
      <c r="K84" s="286">
        <f>E84/E80</f>
        <v>5.8697685909660499E-2</v>
      </c>
      <c r="L84" s="286">
        <f>F84/F80</f>
        <v>5.7073032322229267E-2</v>
      </c>
      <c r="M84" s="286">
        <f>G84/G80</f>
        <v>3.8869764783978328E-2</v>
      </c>
    </row>
    <row r="85" spans="1:13" ht="13.15" thickBot="1" x14ac:dyDescent="0.4">
      <c r="A85" s="28" t="s">
        <v>443</v>
      </c>
      <c r="B85" t="s">
        <v>39</v>
      </c>
      <c r="C85" s="28" t="s">
        <v>463</v>
      </c>
      <c r="D85" s="239">
        <f>Afstemning!D92</f>
        <v>-6559</v>
      </c>
      <c r="E85" s="239">
        <f>Afstemning!E92</f>
        <v>-6559</v>
      </c>
      <c r="F85" s="239">
        <f>Afstemning!F92</f>
        <v>-6559</v>
      </c>
      <c r="G85" s="239">
        <f>Afstemning!G92</f>
        <v>-6559</v>
      </c>
      <c r="H85" t="str">
        <f t="shared" si="4"/>
        <v>32. Specialiseret voksenområde</v>
      </c>
      <c r="I85" t="str">
        <f t="shared" si="5"/>
        <v>Finansieringsforslag</v>
      </c>
      <c r="J85" s="286">
        <f>D85/D80</f>
        <v>-1.7385914952753372E-2</v>
      </c>
      <c r="K85" s="286">
        <f>E85/E80</f>
        <v>-1.7667758335159617E-2</v>
      </c>
      <c r="L85" s="286">
        <f>F85/F80</f>
        <v>-1.7951470723708902E-2</v>
      </c>
      <c r="M85" s="286">
        <f>G85/G80</f>
        <v>-1.7951470723708902E-2</v>
      </c>
    </row>
    <row r="86" spans="1:13" x14ac:dyDescent="0.35">
      <c r="A86" s="28" t="s">
        <v>443</v>
      </c>
      <c r="B86" s="28" t="s">
        <v>183</v>
      </c>
      <c r="C86" s="28" t="s">
        <v>463</v>
      </c>
      <c r="D86" s="105">
        <f>SUM(D81:D85)</f>
        <v>403371.17099999997</v>
      </c>
      <c r="E86" s="105">
        <f>SUM(E81:E85)</f>
        <v>409228.038</v>
      </c>
      <c r="F86" s="105">
        <f>SUM(F81:F85)</f>
        <v>402973.79</v>
      </c>
      <c r="G86" s="105">
        <f>SUM(G81:G85)</f>
        <v>396308.79</v>
      </c>
      <c r="H86" t="str">
        <f t="shared" si="4"/>
        <v>32. Specialiseret voksenområde</v>
      </c>
      <c r="I86" t="str">
        <f t="shared" si="5"/>
        <v>Vedtaget budget 2020 - 2023</v>
      </c>
      <c r="J86" s="105"/>
      <c r="K86" s="105"/>
      <c r="L86" s="105"/>
      <c r="M86" s="105"/>
    </row>
    <row r="87" spans="1:13" x14ac:dyDescent="0.35">
      <c r="D87" s="105"/>
      <c r="E87" s="105"/>
      <c r="F87" s="105"/>
      <c r="G87" s="105"/>
      <c r="H87">
        <f t="shared" si="4"/>
        <v>0</v>
      </c>
      <c r="I87">
        <f t="shared" si="5"/>
        <v>0</v>
      </c>
      <c r="J87" s="105"/>
      <c r="K87" s="105"/>
      <c r="L87" s="105"/>
      <c r="M87" s="105"/>
    </row>
    <row r="88" spans="1:13" ht="13.15" thickBot="1" x14ac:dyDescent="0.4">
      <c r="D88" s="105"/>
      <c r="E88" s="105"/>
      <c r="F88" s="105"/>
      <c r="G88" s="105"/>
      <c r="H88">
        <f t="shared" si="4"/>
        <v>0</v>
      </c>
      <c r="I88">
        <f t="shared" si="5"/>
        <v>0</v>
      </c>
      <c r="J88" s="105"/>
      <c r="K88" s="105"/>
      <c r="L88" s="105"/>
      <c r="M88" s="105"/>
    </row>
    <row r="89" spans="1:13" ht="13.15" thickBot="1" x14ac:dyDescent="0.4">
      <c r="A89" s="28" t="s">
        <v>444</v>
      </c>
      <c r="B89" t="s">
        <v>189</v>
      </c>
      <c r="C89" s="28" t="s">
        <v>457</v>
      </c>
      <c r="D89" s="239">
        <v>0</v>
      </c>
      <c r="E89" s="239">
        <v>0</v>
      </c>
      <c r="F89" s="239">
        <v>0</v>
      </c>
      <c r="G89" s="239">
        <v>0</v>
      </c>
      <c r="H89" t="str">
        <f t="shared" si="4"/>
        <v>33. Forsørgelsesydelser</v>
      </c>
      <c r="I89" t="str">
        <f t="shared" si="5"/>
        <v>Serviceramme ompr.sag</v>
      </c>
      <c r="J89" s="105"/>
      <c r="K89" s="105"/>
      <c r="L89" s="105"/>
      <c r="M89" s="105"/>
    </row>
    <row r="90" spans="1:13" ht="13.15" thickBot="1" x14ac:dyDescent="0.4">
      <c r="A90" s="28" t="s">
        <v>444</v>
      </c>
      <c r="B90" s="28" t="s">
        <v>185</v>
      </c>
      <c r="C90" s="28" t="s">
        <v>457</v>
      </c>
      <c r="D90" s="239">
        <f>Afstemning!D97</f>
        <v>721951.64899999998</v>
      </c>
      <c r="E90" s="239">
        <f>Afstemning!E97</f>
        <v>737320.97499999998</v>
      </c>
      <c r="F90" s="239">
        <f>Afstemning!F97</f>
        <v>733481.31799999997</v>
      </c>
      <c r="G90" s="239">
        <f>Afstemning!G97</f>
        <v>733481.31799999997</v>
      </c>
      <c r="H90" t="str">
        <f t="shared" si="4"/>
        <v>33. Forsørgelsesydelser</v>
      </c>
      <c r="I90" t="str">
        <f t="shared" si="5"/>
        <v xml:space="preserve">Driftsramme </v>
      </c>
      <c r="J90" s="211"/>
      <c r="K90" s="211"/>
      <c r="L90" s="211"/>
      <c r="M90" s="211"/>
    </row>
    <row r="91" spans="1:13" ht="13.15" thickBot="1" x14ac:dyDescent="0.4">
      <c r="A91" s="28" t="s">
        <v>444</v>
      </c>
      <c r="B91" t="s">
        <v>29</v>
      </c>
      <c r="C91" s="28" t="s">
        <v>457</v>
      </c>
      <c r="D91" s="239">
        <f>Afstemning!D98</f>
        <v>1573</v>
      </c>
      <c r="E91" s="239">
        <f>Afstemning!E98</f>
        <v>4157</v>
      </c>
      <c r="F91" s="239">
        <f>Afstemning!F98</f>
        <v>12277</v>
      </c>
      <c r="G91" s="239">
        <f>Afstemning!G98</f>
        <v>27929</v>
      </c>
      <c r="H91" t="str">
        <f t="shared" si="4"/>
        <v>33. Forsørgelsesydelser</v>
      </c>
      <c r="I91" t="str">
        <f t="shared" si="5"/>
        <v>Tekniske korrektioner</v>
      </c>
      <c r="J91" s="286"/>
      <c r="K91" s="286"/>
      <c r="L91" s="286"/>
      <c r="M91" s="286"/>
    </row>
    <row r="92" spans="1:13" ht="13.15" thickBot="1" x14ac:dyDescent="0.4">
      <c r="A92" s="28" t="s">
        <v>444</v>
      </c>
      <c r="B92" s="28" t="s">
        <v>107</v>
      </c>
      <c r="C92" s="28" t="s">
        <v>457</v>
      </c>
      <c r="D92" s="239">
        <f>Afstemning!D99</f>
        <v>0</v>
      </c>
      <c r="E92" s="239">
        <f>Afstemning!E99</f>
        <v>0</v>
      </c>
      <c r="F92" s="239">
        <f>Afstemning!F99</f>
        <v>0</v>
      </c>
      <c r="G92" s="239">
        <f>Afstemning!G99</f>
        <v>0</v>
      </c>
      <c r="H92" t="str">
        <f t="shared" si="4"/>
        <v>33. Forsørgelsesydelser</v>
      </c>
      <c r="I92" t="str">
        <f t="shared" si="5"/>
        <v>Afledt drift</v>
      </c>
      <c r="J92" s="286"/>
      <c r="K92" s="286"/>
      <c r="L92" s="286"/>
      <c r="M92" s="286"/>
    </row>
    <row r="93" spans="1:13" ht="13.15" thickBot="1" x14ac:dyDescent="0.4">
      <c r="A93" s="28" t="s">
        <v>444</v>
      </c>
      <c r="B93" t="s">
        <v>108</v>
      </c>
      <c r="C93" s="28" t="s">
        <v>457</v>
      </c>
      <c r="D93" s="239">
        <f>Afstemning!D100</f>
        <v>0</v>
      </c>
      <c r="E93" s="239">
        <f>Afstemning!E100</f>
        <v>0</v>
      </c>
      <c r="F93" s="239">
        <f>Afstemning!F100</f>
        <v>0</v>
      </c>
      <c r="G93" s="239">
        <f>Afstemning!G100</f>
        <v>0</v>
      </c>
      <c r="H93" t="str">
        <f t="shared" si="4"/>
        <v>33. Forsørgelsesydelser</v>
      </c>
      <c r="I93" t="str">
        <f t="shared" si="5"/>
        <v>Budgetønsker</v>
      </c>
      <c r="J93" s="286"/>
      <c r="K93" s="286"/>
      <c r="L93" s="286"/>
      <c r="M93" s="286"/>
    </row>
    <row r="94" spans="1:13" ht="13.15" thickBot="1" x14ac:dyDescent="0.4">
      <c r="A94" s="28" t="s">
        <v>444</v>
      </c>
      <c r="B94" t="s">
        <v>39</v>
      </c>
      <c r="C94" s="28" t="s">
        <v>457</v>
      </c>
      <c r="D94" s="239">
        <f>Afstemning!D101</f>
        <v>0</v>
      </c>
      <c r="E94" s="239">
        <f>Afstemning!E101</f>
        <v>0</v>
      </c>
      <c r="F94" s="239">
        <f>Afstemning!F101</f>
        <v>0</v>
      </c>
      <c r="G94" s="239">
        <f>Afstemning!G101</f>
        <v>0</v>
      </c>
      <c r="H94" t="str">
        <f t="shared" si="4"/>
        <v>33. Forsørgelsesydelser</v>
      </c>
      <c r="I94" t="str">
        <f t="shared" si="5"/>
        <v>Finansieringsforslag</v>
      </c>
      <c r="J94" s="286"/>
      <c r="K94" s="286"/>
      <c r="L94" s="286"/>
      <c r="M94" s="286"/>
    </row>
    <row r="95" spans="1:13" x14ac:dyDescent="0.35">
      <c r="A95" s="28" t="s">
        <v>444</v>
      </c>
      <c r="B95" s="28" t="s">
        <v>183</v>
      </c>
      <c r="C95" s="28" t="s">
        <v>457</v>
      </c>
      <c r="D95" s="105">
        <f>SUM(D90:D94)</f>
        <v>723524.64899999998</v>
      </c>
      <c r="E95" s="105">
        <f>SUM(E90:E94)</f>
        <v>741477.97499999998</v>
      </c>
      <c r="F95" s="105">
        <f>SUM(F90:F94)</f>
        <v>745758.31799999997</v>
      </c>
      <c r="G95" s="105">
        <f>SUM(G90:G94)</f>
        <v>761410.31799999997</v>
      </c>
      <c r="H95" t="str">
        <f t="shared" si="4"/>
        <v>33. Forsørgelsesydelser</v>
      </c>
      <c r="I95" t="str">
        <f t="shared" si="5"/>
        <v>Vedtaget budget 2020 - 2023</v>
      </c>
      <c r="J95" s="105"/>
      <c r="K95" s="105"/>
      <c r="L95" s="105"/>
      <c r="M95" s="105"/>
    </row>
    <row r="96" spans="1:13" x14ac:dyDescent="0.35">
      <c r="D96" s="105"/>
      <c r="E96" s="105"/>
      <c r="F96" s="105"/>
      <c r="G96" s="105"/>
      <c r="H96">
        <f t="shared" si="4"/>
        <v>0</v>
      </c>
      <c r="I96">
        <f t="shared" si="5"/>
        <v>0</v>
      </c>
      <c r="J96" s="105"/>
      <c r="K96" s="105"/>
      <c r="L96" s="105"/>
      <c r="M96" s="105"/>
    </row>
    <row r="97" spans="1:13" ht="13.15" thickBot="1" x14ac:dyDescent="0.4">
      <c r="D97" s="105"/>
      <c r="E97" s="105"/>
      <c r="F97" s="105"/>
      <c r="G97" s="105"/>
      <c r="H97">
        <f t="shared" si="4"/>
        <v>0</v>
      </c>
      <c r="I97">
        <f t="shared" si="5"/>
        <v>0</v>
      </c>
      <c r="J97" s="105"/>
      <c r="K97" s="105"/>
      <c r="L97" s="105"/>
      <c r="M97" s="105"/>
    </row>
    <row r="98" spans="1:13" ht="13.15" thickBot="1" x14ac:dyDescent="0.4">
      <c r="A98" s="28" t="s">
        <v>142</v>
      </c>
      <c r="B98" t="s">
        <v>189</v>
      </c>
      <c r="C98" s="28" t="s">
        <v>463</v>
      </c>
      <c r="D98" s="239">
        <v>534079.45200000005</v>
      </c>
      <c r="E98" s="239">
        <v>551069.23</v>
      </c>
      <c r="F98" s="239">
        <v>558763.02</v>
      </c>
      <c r="G98" s="239">
        <v>558763.02</v>
      </c>
      <c r="H98" t="str">
        <f t="shared" si="4"/>
        <v>34. Ældre</v>
      </c>
      <c r="I98" t="str">
        <f t="shared" si="5"/>
        <v>Serviceramme ompr.sag</v>
      </c>
      <c r="J98" s="105"/>
      <c r="K98" s="105"/>
      <c r="L98" s="105"/>
      <c r="M98" s="105"/>
    </row>
    <row r="99" spans="1:13" ht="13.15" thickBot="1" x14ac:dyDescent="0.4">
      <c r="A99" s="28" t="s">
        <v>142</v>
      </c>
      <c r="B99" s="28" t="s">
        <v>185</v>
      </c>
      <c r="C99" s="28" t="s">
        <v>463</v>
      </c>
      <c r="D99" s="239">
        <f>Afstemning!D106</f>
        <v>534245.826</v>
      </c>
      <c r="E99" s="239">
        <f>Afstemning!E106</f>
        <v>551200.68700000003</v>
      </c>
      <c r="F99" s="239">
        <f>Afstemning!F106</f>
        <v>560216.22499999998</v>
      </c>
      <c r="G99" s="239">
        <f>Afstemning!G106</f>
        <v>560216.22499999998</v>
      </c>
      <c r="H99" t="str">
        <f t="shared" si="4"/>
        <v>34. Ældre</v>
      </c>
      <c r="I99" t="str">
        <f t="shared" si="5"/>
        <v xml:space="preserve">Driftsramme </v>
      </c>
      <c r="J99" s="211"/>
      <c r="K99" s="211"/>
      <c r="L99" s="211"/>
      <c r="M99" s="211"/>
    </row>
    <row r="100" spans="1:13" ht="13.15" thickBot="1" x14ac:dyDescent="0.4">
      <c r="A100" s="28" t="s">
        <v>142</v>
      </c>
      <c r="B100" t="s">
        <v>29</v>
      </c>
      <c r="C100" s="28" t="s">
        <v>463</v>
      </c>
      <c r="D100" s="239">
        <f>Afstemning!D107</f>
        <v>11462</v>
      </c>
      <c r="E100" s="239">
        <f>Afstemning!E107</f>
        <v>10292</v>
      </c>
      <c r="F100" s="239">
        <f>Afstemning!F107</f>
        <v>15003</v>
      </c>
      <c r="G100" s="239">
        <f>Afstemning!G107</f>
        <v>20933</v>
      </c>
      <c r="H100" t="str">
        <f t="shared" si="4"/>
        <v>34. Ældre</v>
      </c>
      <c r="I100" t="str">
        <f t="shared" si="5"/>
        <v>Tekniske korrektioner</v>
      </c>
      <c r="J100" s="286">
        <f>D100/D98</f>
        <v>2.14612263345417E-2</v>
      </c>
      <c r="K100" s="286">
        <f>E100/E98</f>
        <v>1.8676419294904201E-2</v>
      </c>
      <c r="L100" s="286">
        <f>F100/F98</f>
        <v>2.6850381043469911E-2</v>
      </c>
      <c r="M100" s="286">
        <f>G100/G98</f>
        <v>3.7463109137036307E-2</v>
      </c>
    </row>
    <row r="101" spans="1:13" ht="13.15" thickBot="1" x14ac:dyDescent="0.4">
      <c r="A101" s="28" t="s">
        <v>142</v>
      </c>
      <c r="B101" s="28" t="s">
        <v>107</v>
      </c>
      <c r="C101" s="28" t="s">
        <v>463</v>
      </c>
      <c r="D101" s="239">
        <f>Afstemning!D108</f>
        <v>0</v>
      </c>
      <c r="E101" s="239">
        <f>Afstemning!E108</f>
        <v>0</v>
      </c>
      <c r="F101" s="239">
        <f>Afstemning!F108</f>
        <v>0</v>
      </c>
      <c r="G101" s="239">
        <f>Afstemning!G108</f>
        <v>0</v>
      </c>
      <c r="H101" t="str">
        <f t="shared" si="4"/>
        <v>34. Ældre</v>
      </c>
      <c r="I101" t="str">
        <f t="shared" si="5"/>
        <v>Afledt drift</v>
      </c>
      <c r="J101" s="286">
        <f>D101/D98</f>
        <v>0</v>
      </c>
      <c r="K101" s="286">
        <f>E101/E98</f>
        <v>0</v>
      </c>
      <c r="L101" s="286">
        <f>F101/F98</f>
        <v>0</v>
      </c>
      <c r="M101" s="286">
        <f>G101/G98</f>
        <v>0</v>
      </c>
    </row>
    <row r="102" spans="1:13" ht="13.15" thickBot="1" x14ac:dyDescent="0.4">
      <c r="A102" s="28" t="s">
        <v>142</v>
      </c>
      <c r="B102" t="s">
        <v>108</v>
      </c>
      <c r="C102" s="28" t="s">
        <v>463</v>
      </c>
      <c r="D102" s="239">
        <f>Afstemning!D109</f>
        <v>1790</v>
      </c>
      <c r="E102" s="239">
        <f>Afstemning!E109</f>
        <v>1790</v>
      </c>
      <c r="F102" s="239">
        <f>Afstemning!F109</f>
        <v>1790</v>
      </c>
      <c r="G102" s="239">
        <f>Afstemning!G109</f>
        <v>1946</v>
      </c>
      <c r="H102" t="str">
        <f t="shared" si="4"/>
        <v>34. Ældre</v>
      </c>
      <c r="I102" t="str">
        <f t="shared" si="5"/>
        <v>Budgetønsker</v>
      </c>
      <c r="J102" s="286">
        <f>D102/D98</f>
        <v>3.351561257968037E-3</v>
      </c>
      <c r="K102" s="286">
        <f>E102/E98</f>
        <v>3.2482307168556664E-3</v>
      </c>
      <c r="L102" s="286">
        <f>F102/F98</f>
        <v>3.203504770233363E-3</v>
      </c>
      <c r="M102" s="286">
        <f>G102/G98</f>
        <v>3.4826928954604045E-3</v>
      </c>
    </row>
    <row r="103" spans="1:13" ht="13.15" thickBot="1" x14ac:dyDescent="0.4">
      <c r="A103" s="28" t="s">
        <v>142</v>
      </c>
      <c r="B103" t="s">
        <v>39</v>
      </c>
      <c r="C103" s="28" t="s">
        <v>463</v>
      </c>
      <c r="D103" s="239">
        <f>Afstemning!D110</f>
        <v>-2223</v>
      </c>
      <c r="E103" s="239">
        <f>Afstemning!E110</f>
        <v>-2210</v>
      </c>
      <c r="F103" s="239">
        <f>Afstemning!F110</f>
        <v>-2210</v>
      </c>
      <c r="G103" s="239">
        <f>Afstemning!G110</f>
        <v>-2210</v>
      </c>
      <c r="H103" t="str">
        <f t="shared" si="4"/>
        <v>34. Ældre</v>
      </c>
      <c r="I103" t="str">
        <f t="shared" si="5"/>
        <v>Finansieringsforslag</v>
      </c>
      <c r="J103" s="286">
        <f>D103/D98</f>
        <v>-4.1623020538899139E-3</v>
      </c>
      <c r="K103" s="286">
        <f>E103/E98</f>
        <v>-4.0103854101961019E-3</v>
      </c>
      <c r="L103" s="286">
        <f>F103/F98</f>
        <v>-3.9551651073830903E-3</v>
      </c>
      <c r="M103" s="286">
        <f>G103/G98</f>
        <v>-3.9551651073830903E-3</v>
      </c>
    </row>
    <row r="104" spans="1:13" x14ac:dyDescent="0.35">
      <c r="A104" s="28" t="s">
        <v>142</v>
      </c>
      <c r="B104" s="28" t="s">
        <v>183</v>
      </c>
      <c r="C104" s="28" t="s">
        <v>463</v>
      </c>
      <c r="D104" s="105">
        <f>SUM(D99:D103)</f>
        <v>545274.826</v>
      </c>
      <c r="E104" s="105">
        <f>SUM(E99:E103)</f>
        <v>561072.68700000003</v>
      </c>
      <c r="F104" s="105">
        <f>SUM(F99:F103)</f>
        <v>574799.22499999998</v>
      </c>
      <c r="G104" s="105">
        <f>SUM(G99:G103)</f>
        <v>580885.22499999998</v>
      </c>
      <c r="H104" t="str">
        <f t="shared" si="4"/>
        <v>34. Ældre</v>
      </c>
      <c r="I104" t="str">
        <f t="shared" si="5"/>
        <v>Vedtaget budget 2020 - 2023</v>
      </c>
      <c r="J104" s="105"/>
      <c r="K104" s="105"/>
      <c r="L104" s="105"/>
      <c r="M104" s="105"/>
    </row>
    <row r="105" spans="1:13" x14ac:dyDescent="0.35">
      <c r="D105" s="105"/>
      <c r="E105" s="105"/>
      <c r="F105" s="105"/>
      <c r="G105" s="105"/>
      <c r="H105">
        <f t="shared" si="4"/>
        <v>0</v>
      </c>
      <c r="I105">
        <f t="shared" si="5"/>
        <v>0</v>
      </c>
      <c r="J105" s="105"/>
      <c r="K105" s="105"/>
      <c r="L105" s="105"/>
      <c r="M105" s="105"/>
    </row>
    <row r="106" spans="1:13" ht="13.15" thickBot="1" x14ac:dyDescent="0.4">
      <c r="D106" s="105"/>
      <c r="E106" s="105"/>
      <c r="F106" s="105"/>
      <c r="G106" s="105"/>
      <c r="H106">
        <f t="shared" si="4"/>
        <v>0</v>
      </c>
      <c r="I106">
        <f t="shared" si="5"/>
        <v>0</v>
      </c>
      <c r="J106" s="105"/>
      <c r="K106" s="105"/>
      <c r="L106" s="105"/>
      <c r="M106" s="105"/>
    </row>
    <row r="107" spans="1:13" ht="13.15" thickBot="1" x14ac:dyDescent="0.4">
      <c r="A107" s="28" t="s">
        <v>143</v>
      </c>
      <c r="B107" t="s">
        <v>189</v>
      </c>
      <c r="C107" s="28" t="s">
        <v>463</v>
      </c>
      <c r="D107" s="239">
        <v>82361.513999999996</v>
      </c>
      <c r="E107" s="239">
        <v>82201.604999999996</v>
      </c>
      <c r="F107" s="239">
        <v>82201.513999999996</v>
      </c>
      <c r="G107" s="239">
        <v>82201.513999999996</v>
      </c>
      <c r="H107" t="str">
        <f t="shared" si="4"/>
        <v>35. Sundhed</v>
      </c>
      <c r="I107" t="str">
        <f t="shared" si="5"/>
        <v>Serviceramme ompr.sag</v>
      </c>
      <c r="J107" s="105"/>
      <c r="K107" s="105"/>
      <c r="L107" s="105"/>
      <c r="M107" s="105"/>
    </row>
    <row r="108" spans="1:13" ht="13.15" thickBot="1" x14ac:dyDescent="0.4">
      <c r="A108" s="28" t="s">
        <v>143</v>
      </c>
      <c r="B108" s="28" t="s">
        <v>185</v>
      </c>
      <c r="C108" s="28" t="s">
        <v>463</v>
      </c>
      <c r="D108" s="239">
        <f>Afstemning!D115</f>
        <v>331430.77799999999</v>
      </c>
      <c r="E108" s="239">
        <f>Afstemning!E115</f>
        <v>331269.84299999999</v>
      </c>
      <c r="F108" s="239">
        <f>Afstemning!F115</f>
        <v>331269.75199999998</v>
      </c>
      <c r="G108" s="239">
        <f>Afstemning!G115</f>
        <v>331269.75199999998</v>
      </c>
      <c r="H108" t="str">
        <f t="shared" si="4"/>
        <v>35. Sundhed</v>
      </c>
      <c r="I108" t="str">
        <f t="shared" si="5"/>
        <v xml:space="preserve">Driftsramme </v>
      </c>
      <c r="J108" s="211"/>
      <c r="K108" s="211"/>
      <c r="L108" s="211"/>
      <c r="M108" s="211"/>
    </row>
    <row r="109" spans="1:13" ht="13.15" thickBot="1" x14ac:dyDescent="0.4">
      <c r="A109" s="28" t="s">
        <v>143</v>
      </c>
      <c r="B109" t="s">
        <v>29</v>
      </c>
      <c r="C109" s="28" t="s">
        <v>463</v>
      </c>
      <c r="D109" s="239">
        <f>Afstemning!D116</f>
        <v>-288601</v>
      </c>
      <c r="E109" s="239">
        <f>Afstemning!E116</f>
        <v>-288341</v>
      </c>
      <c r="F109" s="239">
        <f>Afstemning!F116</f>
        <v>-288340</v>
      </c>
      <c r="G109" s="239">
        <f>Afstemning!G116</f>
        <v>-288340</v>
      </c>
      <c r="H109" t="str">
        <f t="shared" si="4"/>
        <v>35. Sundhed</v>
      </c>
      <c r="I109" t="str">
        <f t="shared" si="5"/>
        <v>Tekniske korrektioner</v>
      </c>
      <c r="J109" s="286">
        <f>D109/D107</f>
        <v>-3.5040759449856642</v>
      </c>
      <c r="K109" s="286">
        <f>E109/E107</f>
        <v>-3.5077295631879695</v>
      </c>
      <c r="L109" s="286">
        <f>F109/F107</f>
        <v>-3.5077212811433136</v>
      </c>
      <c r="M109" s="286">
        <f>G109/G107</f>
        <v>-3.5077212811433136</v>
      </c>
    </row>
    <row r="110" spans="1:13" ht="13.15" thickBot="1" x14ac:dyDescent="0.4">
      <c r="A110" s="28" t="s">
        <v>143</v>
      </c>
      <c r="B110" s="28" t="s">
        <v>107</v>
      </c>
      <c r="C110" s="28" t="s">
        <v>463</v>
      </c>
      <c r="D110" s="239">
        <f>Afstemning!D117</f>
        <v>0</v>
      </c>
      <c r="E110" s="239">
        <f>Afstemning!E117</f>
        <v>0</v>
      </c>
      <c r="F110" s="239">
        <f>Afstemning!F117</f>
        <v>0</v>
      </c>
      <c r="G110" s="239">
        <f>Afstemning!G117</f>
        <v>0</v>
      </c>
      <c r="H110" t="str">
        <f t="shared" si="4"/>
        <v>35. Sundhed</v>
      </c>
      <c r="I110" t="str">
        <f t="shared" si="5"/>
        <v>Afledt drift</v>
      </c>
      <c r="J110" s="286">
        <f>D110/D107</f>
        <v>0</v>
      </c>
      <c r="K110" s="286">
        <f>E110/E107</f>
        <v>0</v>
      </c>
      <c r="L110" s="286">
        <f>F110/F107</f>
        <v>0</v>
      </c>
      <c r="M110" s="286">
        <f>G110/G107</f>
        <v>0</v>
      </c>
    </row>
    <row r="111" spans="1:13" ht="13.15" thickBot="1" x14ac:dyDescent="0.4">
      <c r="A111" s="28" t="s">
        <v>143</v>
      </c>
      <c r="B111" t="s">
        <v>108</v>
      </c>
      <c r="C111" s="28" t="s">
        <v>463</v>
      </c>
      <c r="D111" s="239">
        <f>Afstemning!D118</f>
        <v>0</v>
      </c>
      <c r="E111" s="239">
        <f>Afstemning!E118</f>
        <v>0</v>
      </c>
      <c r="F111" s="239">
        <f>Afstemning!F118</f>
        <v>0</v>
      </c>
      <c r="G111" s="239">
        <f>Afstemning!G118</f>
        <v>0</v>
      </c>
      <c r="H111" t="str">
        <f t="shared" si="4"/>
        <v>35. Sundhed</v>
      </c>
      <c r="I111" t="str">
        <f t="shared" si="5"/>
        <v>Budgetønsker</v>
      </c>
      <c r="J111" s="286">
        <f>D111/D107</f>
        <v>0</v>
      </c>
      <c r="K111" s="286">
        <f>E111/E107</f>
        <v>0</v>
      </c>
      <c r="L111" s="286">
        <f>F111/F107</f>
        <v>0</v>
      </c>
      <c r="M111" s="286">
        <f>G111/G107</f>
        <v>0</v>
      </c>
    </row>
    <row r="112" spans="1:13" ht="13.15" thickBot="1" x14ac:dyDescent="0.4">
      <c r="A112" s="28" t="s">
        <v>143</v>
      </c>
      <c r="B112" t="s">
        <v>39</v>
      </c>
      <c r="C112" s="28" t="s">
        <v>463</v>
      </c>
      <c r="D112" s="239">
        <f>Afstemning!D119</f>
        <v>-3000</v>
      </c>
      <c r="E112" s="239">
        <f>Afstemning!E119</f>
        <v>-3000</v>
      </c>
      <c r="F112" s="239">
        <f>Afstemning!F119</f>
        <v>-3000</v>
      </c>
      <c r="G112" s="239">
        <f>Afstemning!G119</f>
        <v>-3000</v>
      </c>
      <c r="H112" t="str">
        <f t="shared" si="4"/>
        <v>35. Sundhed</v>
      </c>
      <c r="I112" t="str">
        <f t="shared" si="5"/>
        <v>Finansieringsforslag</v>
      </c>
      <c r="J112" s="286">
        <f>D112/D107</f>
        <v>-3.6424779661044113E-2</v>
      </c>
      <c r="K112" s="286">
        <f>E112/E107</f>
        <v>-3.6495637767656727E-2</v>
      </c>
      <c r="L112" s="286">
        <f>F112/F107</f>
        <v>-3.6495678169625928E-2</v>
      </c>
      <c r="M112" s="286">
        <f>G112/G107</f>
        <v>-3.6495678169625928E-2</v>
      </c>
    </row>
    <row r="113" spans="1:13" x14ac:dyDescent="0.35">
      <c r="A113" s="28" t="s">
        <v>143</v>
      </c>
      <c r="B113" s="28" t="s">
        <v>183</v>
      </c>
      <c r="C113" s="28" t="s">
        <v>463</v>
      </c>
      <c r="D113" s="105">
        <f>SUM(D108:D112)</f>
        <v>39829.777999999991</v>
      </c>
      <c r="E113" s="105">
        <f>SUM(E108:E112)</f>
        <v>39928.842999999993</v>
      </c>
      <c r="F113" s="105">
        <f>SUM(F108:F112)</f>
        <v>39929.751999999979</v>
      </c>
      <c r="G113" s="105">
        <f>SUM(G108:G112)</f>
        <v>39929.751999999979</v>
      </c>
      <c r="H113" t="str">
        <f t="shared" si="4"/>
        <v>35. Sundhed</v>
      </c>
      <c r="I113" t="str">
        <f t="shared" si="5"/>
        <v>Vedtaget budget 2020 - 2023</v>
      </c>
      <c r="J113" s="105"/>
      <c r="K113" s="105"/>
      <c r="L113" s="105"/>
      <c r="M113" s="105"/>
    </row>
    <row r="114" spans="1:13" x14ac:dyDescent="0.35">
      <c r="D114" s="105"/>
      <c r="E114" s="105"/>
      <c r="F114" s="105"/>
      <c r="G114" s="105"/>
      <c r="H114">
        <f t="shared" si="4"/>
        <v>0</v>
      </c>
      <c r="I114">
        <f t="shared" si="5"/>
        <v>0</v>
      </c>
      <c r="J114" s="105"/>
      <c r="K114" s="105"/>
      <c r="L114" s="105"/>
      <c r="M114" s="105"/>
    </row>
    <row r="115" spans="1:13" ht="13.15" thickBot="1" x14ac:dyDescent="0.4">
      <c r="D115" s="105"/>
      <c r="E115" s="105"/>
      <c r="F115" s="105"/>
      <c r="G115" s="105"/>
      <c r="H115">
        <f t="shared" si="4"/>
        <v>0</v>
      </c>
      <c r="I115">
        <f t="shared" si="5"/>
        <v>0</v>
      </c>
      <c r="J115" s="105"/>
      <c r="K115" s="105"/>
      <c r="L115" s="105"/>
      <c r="M115" s="105"/>
    </row>
    <row r="116" spans="1:13" ht="13.15" thickBot="1" x14ac:dyDescent="0.4">
      <c r="A116" t="s">
        <v>440</v>
      </c>
      <c r="B116" t="s">
        <v>189</v>
      </c>
      <c r="C116" t="s">
        <v>457</v>
      </c>
      <c r="D116" s="239">
        <v>48550.49</v>
      </c>
      <c r="E116" s="239">
        <v>48550.51</v>
      </c>
      <c r="F116" s="239">
        <v>48550.508000000002</v>
      </c>
      <c r="G116" s="239">
        <v>48550.508000000002</v>
      </c>
      <c r="H116" t="s">
        <v>440</v>
      </c>
      <c r="I116" t="str">
        <f t="shared" si="5"/>
        <v>Serviceramme ompr.sag</v>
      </c>
      <c r="J116" s="105"/>
      <c r="K116" s="105"/>
      <c r="L116" s="105"/>
      <c r="M116" s="105"/>
    </row>
    <row r="117" spans="1:13" ht="13.15" thickBot="1" x14ac:dyDescent="0.4">
      <c r="A117" t="s">
        <v>440</v>
      </c>
      <c r="B117" s="28" t="s">
        <v>185</v>
      </c>
      <c r="C117" t="s">
        <v>457</v>
      </c>
      <c r="D117" s="239">
        <f>Afstemning!D123</f>
        <v>60631.368000000002</v>
      </c>
      <c r="E117" s="239">
        <f>Afstemning!E123</f>
        <v>60637.567999999999</v>
      </c>
      <c r="F117" s="239">
        <f>Afstemning!F123</f>
        <v>60637.565000000002</v>
      </c>
      <c r="G117" s="239">
        <f>Afstemning!G123</f>
        <v>60637.565000000002</v>
      </c>
      <c r="H117" t="s">
        <v>440</v>
      </c>
      <c r="I117" t="str">
        <f t="shared" si="5"/>
        <v xml:space="preserve">Driftsramme </v>
      </c>
      <c r="J117" s="105"/>
      <c r="K117" s="105"/>
      <c r="L117" s="105"/>
      <c r="M117" s="105"/>
    </row>
    <row r="118" spans="1:13" ht="13.15" thickBot="1" x14ac:dyDescent="0.4">
      <c r="A118" t="s">
        <v>440</v>
      </c>
      <c r="B118" t="s">
        <v>29</v>
      </c>
      <c r="C118" t="s">
        <v>457</v>
      </c>
      <c r="D118" s="239">
        <f>Afstemning!D124</f>
        <v>-4919</v>
      </c>
      <c r="E118" s="239">
        <f>Afstemning!E124</f>
        <v>-4317</v>
      </c>
      <c r="F118" s="239">
        <f>Afstemning!F124</f>
        <v>-4254</v>
      </c>
      <c r="G118" s="239">
        <f>Afstemning!G124</f>
        <v>-4254</v>
      </c>
      <c r="H118" t="s">
        <v>440</v>
      </c>
      <c r="I118" t="str">
        <f t="shared" si="5"/>
        <v>Tekniske korrektioner</v>
      </c>
      <c r="J118" s="286">
        <f>D118/D116</f>
        <v>-0.1013172060673332</v>
      </c>
      <c r="K118" s="286">
        <f>E118/E116</f>
        <v>-8.8917706528726465E-2</v>
      </c>
      <c r="L118" s="286">
        <f>F118/F116</f>
        <v>-8.7620092461236448E-2</v>
      </c>
      <c r="M118" s="286">
        <f>G118/G116</f>
        <v>-8.7620092461236448E-2</v>
      </c>
    </row>
    <row r="119" spans="1:13" ht="13.15" thickBot="1" x14ac:dyDescent="0.4">
      <c r="A119" t="s">
        <v>440</v>
      </c>
      <c r="B119" s="28" t="s">
        <v>107</v>
      </c>
      <c r="C119" t="s">
        <v>457</v>
      </c>
      <c r="D119" s="239">
        <f>Afstemning!D125</f>
        <v>0</v>
      </c>
      <c r="E119" s="239">
        <f>Afstemning!E125</f>
        <v>0</v>
      </c>
      <c r="F119" s="239">
        <f>Afstemning!F125</f>
        <v>0</v>
      </c>
      <c r="G119" s="239">
        <f>Afstemning!G125</f>
        <v>0</v>
      </c>
      <c r="H119" t="s">
        <v>440</v>
      </c>
      <c r="I119" t="str">
        <f t="shared" si="5"/>
        <v>Afledt drift</v>
      </c>
      <c r="J119" s="286">
        <f>D119/D116</f>
        <v>0</v>
      </c>
      <c r="K119" s="286">
        <f>E119/E116</f>
        <v>0</v>
      </c>
      <c r="L119" s="286">
        <f>F119/F116</f>
        <v>0</v>
      </c>
      <c r="M119" s="286">
        <f>G119/G116</f>
        <v>0</v>
      </c>
    </row>
    <row r="120" spans="1:13" ht="13.15" thickBot="1" x14ac:dyDescent="0.4">
      <c r="A120" t="s">
        <v>440</v>
      </c>
      <c r="B120" t="s">
        <v>108</v>
      </c>
      <c r="C120" t="s">
        <v>457</v>
      </c>
      <c r="D120" s="239">
        <f>Afstemning!D126</f>
        <v>100</v>
      </c>
      <c r="E120" s="239">
        <f>Afstemning!E126</f>
        <v>100</v>
      </c>
      <c r="F120" s="239">
        <f>Afstemning!F126</f>
        <v>100</v>
      </c>
      <c r="G120" s="239">
        <f>Afstemning!G126</f>
        <v>100</v>
      </c>
      <c r="H120" t="s">
        <v>440</v>
      </c>
      <c r="I120" t="str">
        <f t="shared" si="5"/>
        <v>Budgetønsker</v>
      </c>
      <c r="J120" s="286">
        <f>D120/D116</f>
        <v>2.0597114467845743E-3</v>
      </c>
      <c r="K120" s="286">
        <f>E120/E116</f>
        <v>2.059710598302675E-3</v>
      </c>
      <c r="L120" s="286">
        <f>F120/F116</f>
        <v>2.0597106831508334E-3</v>
      </c>
      <c r="M120" s="286">
        <f>G120/G116</f>
        <v>2.0597106831508334E-3</v>
      </c>
    </row>
    <row r="121" spans="1:13" ht="13.15" thickBot="1" x14ac:dyDescent="0.4">
      <c r="A121" t="s">
        <v>440</v>
      </c>
      <c r="B121" t="s">
        <v>39</v>
      </c>
      <c r="C121" t="s">
        <v>457</v>
      </c>
      <c r="D121" s="239">
        <f>Afstemning!D127</f>
        <v>-4465</v>
      </c>
      <c r="E121" s="239">
        <f>Afstemning!E127</f>
        <v>-2215</v>
      </c>
      <c r="F121" s="239">
        <f>Afstemning!F127</f>
        <v>-2215</v>
      </c>
      <c r="G121" s="239">
        <f>Afstemning!G127</f>
        <v>-2215</v>
      </c>
      <c r="H121" t="s">
        <v>440</v>
      </c>
      <c r="I121" t="str">
        <f t="shared" si="5"/>
        <v>Finansieringsforslag</v>
      </c>
      <c r="J121" s="286">
        <f>D121/D116</f>
        <v>-9.1966116098931239E-2</v>
      </c>
      <c r="K121" s="286">
        <f>E121/E116</f>
        <v>-4.5622589752404248E-2</v>
      </c>
      <c r="L121" s="286">
        <f>F121/F116</f>
        <v>-4.5622591631790957E-2</v>
      </c>
      <c r="M121" s="286">
        <f>G121/G116</f>
        <v>-4.5622591631790957E-2</v>
      </c>
    </row>
    <row r="122" spans="1:13" x14ac:dyDescent="0.35">
      <c r="A122" t="s">
        <v>440</v>
      </c>
      <c r="B122" s="28" t="s">
        <v>183</v>
      </c>
      <c r="C122" t="s">
        <v>457</v>
      </c>
      <c r="D122" s="105">
        <f>SUM(D117:D121)</f>
        <v>51347.368000000002</v>
      </c>
      <c r="E122" s="105">
        <f>SUM(E117:E121)</f>
        <v>54205.567999999999</v>
      </c>
      <c r="F122" s="105">
        <f>SUM(F117:F121)</f>
        <v>54268.565000000002</v>
      </c>
      <c r="G122" s="105">
        <f>SUM(G117:G121)</f>
        <v>54268.565000000002</v>
      </c>
      <c r="H122" t="s">
        <v>440</v>
      </c>
      <c r="I122" t="str">
        <f t="shared" si="5"/>
        <v>Vedtaget budget 2020 - 2023</v>
      </c>
      <c r="J122" s="105"/>
      <c r="K122" s="105"/>
      <c r="L122" s="105"/>
      <c r="M122" s="105"/>
    </row>
    <row r="123" spans="1:13" x14ac:dyDescent="0.35">
      <c r="D123" s="105"/>
      <c r="E123" s="105"/>
      <c r="F123" s="105"/>
      <c r="G123" s="105"/>
      <c r="J123" s="105"/>
      <c r="K123" s="105"/>
      <c r="L123" s="105"/>
      <c r="M123" s="105"/>
    </row>
    <row r="124" spans="1:13" ht="13.15" thickBot="1" x14ac:dyDescent="0.4">
      <c r="D124" s="105"/>
      <c r="E124" s="105"/>
      <c r="F124" s="105"/>
      <c r="G124" s="105"/>
      <c r="J124" s="105"/>
      <c r="K124" s="105"/>
      <c r="L124" s="105"/>
      <c r="M124" s="105"/>
    </row>
    <row r="125" spans="1:13" ht="13.15" thickBot="1" x14ac:dyDescent="0.4">
      <c r="A125" t="s">
        <v>111</v>
      </c>
      <c r="B125" t="s">
        <v>189</v>
      </c>
      <c r="C125" s="28" t="s">
        <v>193</v>
      </c>
      <c r="D125" s="239">
        <v>327914.75300000003</v>
      </c>
      <c r="E125" s="239">
        <v>327389.01500000001</v>
      </c>
      <c r="F125" s="239">
        <v>326633.69099999999</v>
      </c>
      <c r="G125" s="239">
        <v>326633.69099999999</v>
      </c>
      <c r="H125" t="str">
        <f t="shared" si="4"/>
        <v>41. Dagtilbud børn</v>
      </c>
      <c r="I125" t="str">
        <f t="shared" si="5"/>
        <v>Serviceramme ompr.sag</v>
      </c>
      <c r="J125" s="105"/>
      <c r="K125" s="105"/>
      <c r="L125" s="105"/>
      <c r="M125" s="105"/>
    </row>
    <row r="126" spans="1:13" ht="13.15" thickBot="1" x14ac:dyDescent="0.4">
      <c r="A126" t="s">
        <v>111</v>
      </c>
      <c r="B126" s="28" t="s">
        <v>185</v>
      </c>
      <c r="C126" s="28" t="s">
        <v>193</v>
      </c>
      <c r="D126" s="239">
        <f>Afstemning!D131</f>
        <v>327914.75300000003</v>
      </c>
      <c r="E126" s="239">
        <f>Afstemning!E131</f>
        <v>327389.01500000001</v>
      </c>
      <c r="F126" s="239">
        <f>Afstemning!F131</f>
        <v>326633.69099999999</v>
      </c>
      <c r="G126" s="239">
        <f>Afstemning!G131</f>
        <v>326633.69099999999</v>
      </c>
      <c r="H126" t="str">
        <f t="shared" si="4"/>
        <v>41. Dagtilbud børn</v>
      </c>
      <c r="I126" t="str">
        <f t="shared" si="5"/>
        <v xml:space="preserve">Driftsramme </v>
      </c>
      <c r="J126" s="211"/>
      <c r="K126" s="211"/>
      <c r="L126" s="211"/>
      <c r="M126" s="211"/>
    </row>
    <row r="127" spans="1:13" ht="13.15" thickBot="1" x14ac:dyDescent="0.4">
      <c r="A127" t="s">
        <v>111</v>
      </c>
      <c r="B127" t="s">
        <v>29</v>
      </c>
      <c r="C127" s="28" t="s">
        <v>193</v>
      </c>
      <c r="D127" s="239">
        <f>Afstemning!D132</f>
        <v>15956</v>
      </c>
      <c r="E127" s="239">
        <f>Afstemning!E132</f>
        <v>11465</v>
      </c>
      <c r="F127" s="239">
        <f>Afstemning!F132</f>
        <v>10810</v>
      </c>
      <c r="G127" s="239">
        <f>Afstemning!G132</f>
        <v>11633</v>
      </c>
      <c r="H127" t="str">
        <f t="shared" ref="H127:H188" si="6">A127</f>
        <v>41. Dagtilbud børn</v>
      </c>
      <c r="I127" t="str">
        <f t="shared" si="5"/>
        <v>Tekniske korrektioner</v>
      </c>
      <c r="J127" s="286">
        <f>D127/D125</f>
        <v>4.8658987904700947E-2</v>
      </c>
      <c r="K127" s="286">
        <f>E127/E125</f>
        <v>3.5019501188822723E-2</v>
      </c>
      <c r="L127" s="286">
        <f>F127/F125</f>
        <v>3.3095177557785981E-2</v>
      </c>
      <c r="M127" s="286">
        <f>G127/G125</f>
        <v>3.5614819660474036E-2</v>
      </c>
    </row>
    <row r="128" spans="1:13" ht="13.15" thickBot="1" x14ac:dyDescent="0.4">
      <c r="A128" t="s">
        <v>111</v>
      </c>
      <c r="B128" s="28" t="s">
        <v>107</v>
      </c>
      <c r="C128" s="28" t="s">
        <v>193</v>
      </c>
      <c r="D128" s="239">
        <f>Afstemning!D133</f>
        <v>29</v>
      </c>
      <c r="E128" s="239">
        <f>Afstemning!E133</f>
        <v>29</v>
      </c>
      <c r="F128" s="239">
        <f>Afstemning!F133</f>
        <v>29</v>
      </c>
      <c r="G128" s="239">
        <f>Afstemning!G133</f>
        <v>0</v>
      </c>
      <c r="H128" t="str">
        <f t="shared" si="6"/>
        <v>41. Dagtilbud børn</v>
      </c>
      <c r="I128" t="str">
        <f t="shared" ref="I128:I189" si="7">B128</f>
        <v>Afledt drift</v>
      </c>
      <c r="J128" s="286">
        <f>D128/D125</f>
        <v>8.8437619029601877E-5</v>
      </c>
      <c r="K128" s="286">
        <f>E128/E125</f>
        <v>8.8579636674736932E-5</v>
      </c>
      <c r="L128" s="286">
        <f>F128/F125</f>
        <v>8.8784472634208459E-5</v>
      </c>
      <c r="M128" s="286">
        <f>G128/G125</f>
        <v>0</v>
      </c>
    </row>
    <row r="129" spans="1:13" ht="13.15" thickBot="1" x14ac:dyDescent="0.4">
      <c r="A129" t="s">
        <v>111</v>
      </c>
      <c r="B129" t="s">
        <v>108</v>
      </c>
      <c r="C129" s="28" t="s">
        <v>193</v>
      </c>
      <c r="D129" s="239">
        <f>Afstemning!D134</f>
        <v>9720</v>
      </c>
      <c r="E129" s="239">
        <f>Afstemning!E134</f>
        <v>12393</v>
      </c>
      <c r="F129" s="239">
        <f>Afstemning!F134</f>
        <v>8728</v>
      </c>
      <c r="G129" s="239">
        <f>Afstemning!G134</f>
        <v>2390</v>
      </c>
      <c r="H129" t="str">
        <f t="shared" si="6"/>
        <v>41. Dagtilbud børn</v>
      </c>
      <c r="I129" t="str">
        <f t="shared" si="7"/>
        <v>Budgetønsker</v>
      </c>
      <c r="J129" s="286">
        <f>D129/D125</f>
        <v>2.9641850240266557E-2</v>
      </c>
      <c r="K129" s="286">
        <f>E129/E125</f>
        <v>3.7854049562414303E-2</v>
      </c>
      <c r="L129" s="286">
        <f>F129/F125</f>
        <v>2.6721064729357636E-2</v>
      </c>
      <c r="M129" s="286">
        <f>G129/G125</f>
        <v>7.3170651584744213E-3</v>
      </c>
    </row>
    <row r="130" spans="1:13" ht="13.15" thickBot="1" x14ac:dyDescent="0.4">
      <c r="A130" t="s">
        <v>111</v>
      </c>
      <c r="B130" t="s">
        <v>39</v>
      </c>
      <c r="C130" s="28" t="s">
        <v>193</v>
      </c>
      <c r="D130" s="239">
        <f>Afstemning!D135</f>
        <v>0</v>
      </c>
      <c r="E130" s="239">
        <f>Afstemning!E135</f>
        <v>0</v>
      </c>
      <c r="F130" s="239">
        <f>Afstemning!F135</f>
        <v>0</v>
      </c>
      <c r="G130" s="239">
        <f>Afstemning!G135</f>
        <v>0</v>
      </c>
      <c r="H130" t="str">
        <f t="shared" si="6"/>
        <v>41. Dagtilbud børn</v>
      </c>
      <c r="I130" t="str">
        <f t="shared" si="7"/>
        <v>Finansieringsforslag</v>
      </c>
      <c r="J130" s="286">
        <f>D130/D125</f>
        <v>0</v>
      </c>
      <c r="K130" s="286">
        <f>E130/E125</f>
        <v>0</v>
      </c>
      <c r="L130" s="286">
        <f>F130/F125</f>
        <v>0</v>
      </c>
      <c r="M130" s="286">
        <f>G130/G125</f>
        <v>0</v>
      </c>
    </row>
    <row r="131" spans="1:13" x14ac:dyDescent="0.35">
      <c r="A131" t="s">
        <v>111</v>
      </c>
      <c r="B131" s="28" t="s">
        <v>183</v>
      </c>
      <c r="C131" s="28" t="s">
        <v>193</v>
      </c>
      <c r="D131" s="105">
        <f>SUM(D126:D130)</f>
        <v>353619.75300000003</v>
      </c>
      <c r="E131" s="105">
        <f>SUM(E126:E130)</f>
        <v>351276.01500000001</v>
      </c>
      <c r="F131" s="105">
        <f>SUM(F126:F130)</f>
        <v>346200.69099999999</v>
      </c>
      <c r="G131" s="105">
        <f>SUM(G126:G130)</f>
        <v>340656.69099999999</v>
      </c>
      <c r="H131" t="str">
        <f t="shared" si="6"/>
        <v>41. Dagtilbud børn</v>
      </c>
      <c r="I131" t="str">
        <f t="shared" si="7"/>
        <v>Vedtaget budget 2020 - 2023</v>
      </c>
      <c r="J131" s="105"/>
      <c r="K131" s="105"/>
      <c r="L131" s="105"/>
      <c r="M131" s="105"/>
    </row>
    <row r="132" spans="1:13" x14ac:dyDescent="0.35">
      <c r="D132" s="105"/>
      <c r="E132" s="105"/>
      <c r="F132" s="105"/>
      <c r="G132" s="105"/>
      <c r="H132">
        <f t="shared" si="6"/>
        <v>0</v>
      </c>
      <c r="I132">
        <f t="shared" si="7"/>
        <v>0</v>
      </c>
      <c r="J132" s="105"/>
      <c r="K132" s="105"/>
      <c r="L132" s="105"/>
      <c r="M132" s="105"/>
    </row>
    <row r="133" spans="1:13" ht="13.15" thickBot="1" x14ac:dyDescent="0.4">
      <c r="D133" s="105"/>
      <c r="E133" s="105"/>
      <c r="F133" s="105"/>
      <c r="G133" s="105"/>
      <c r="H133">
        <f t="shared" si="6"/>
        <v>0</v>
      </c>
      <c r="I133">
        <f t="shared" si="7"/>
        <v>0</v>
      </c>
      <c r="J133" s="105"/>
      <c r="K133" s="105"/>
      <c r="L133" s="105"/>
      <c r="M133" s="105"/>
    </row>
    <row r="134" spans="1:13" ht="13.15" thickBot="1" x14ac:dyDescent="0.4">
      <c r="A134" t="s">
        <v>112</v>
      </c>
      <c r="B134" t="s">
        <v>189</v>
      </c>
      <c r="C134" s="28" t="s">
        <v>193</v>
      </c>
      <c r="D134" s="239">
        <v>695326.90899999999</v>
      </c>
      <c r="E134" s="239">
        <v>691719.40800000005</v>
      </c>
      <c r="F134" s="239">
        <v>698574.94200000004</v>
      </c>
      <c r="G134" s="239">
        <v>698574.94200000004</v>
      </c>
      <c r="H134" t="str">
        <f t="shared" si="6"/>
        <v>42. Skoler</v>
      </c>
      <c r="I134" t="str">
        <f t="shared" si="7"/>
        <v>Serviceramme ompr.sag</v>
      </c>
      <c r="J134" s="105"/>
      <c r="K134" s="105"/>
      <c r="L134" s="105"/>
      <c r="M134" s="105"/>
    </row>
    <row r="135" spans="1:13" ht="13.15" thickBot="1" x14ac:dyDescent="0.4">
      <c r="A135" t="s">
        <v>112</v>
      </c>
      <c r="B135" s="28" t="s">
        <v>185</v>
      </c>
      <c r="C135" s="28" t="s">
        <v>193</v>
      </c>
      <c r="D135" s="239">
        <f>Afstemning!D140</f>
        <v>695326.90899999999</v>
      </c>
      <c r="E135" s="239">
        <f>Afstemning!E140</f>
        <v>691719.40800000005</v>
      </c>
      <c r="F135" s="239">
        <f>Afstemning!F140</f>
        <v>698574.94200000004</v>
      </c>
      <c r="G135" s="239">
        <f>Afstemning!G140</f>
        <v>698574.94200000004</v>
      </c>
      <c r="H135" t="str">
        <f t="shared" si="6"/>
        <v>42. Skoler</v>
      </c>
      <c r="I135" t="str">
        <f t="shared" si="7"/>
        <v xml:space="preserve">Driftsramme </v>
      </c>
      <c r="J135" s="211"/>
      <c r="K135" s="211"/>
      <c r="L135" s="211"/>
      <c r="M135" s="211"/>
    </row>
    <row r="136" spans="1:13" ht="13.15" thickBot="1" x14ac:dyDescent="0.4">
      <c r="A136" t="s">
        <v>112</v>
      </c>
      <c r="B136" t="s">
        <v>29</v>
      </c>
      <c r="C136" s="28" t="s">
        <v>193</v>
      </c>
      <c r="D136" s="239">
        <f>Afstemning!D141</f>
        <v>-3567</v>
      </c>
      <c r="E136" s="239">
        <f>Afstemning!E141</f>
        <v>-3017</v>
      </c>
      <c r="F136" s="239">
        <f>Afstemning!F141</f>
        <v>-6050</v>
      </c>
      <c r="G136" s="239">
        <f>Afstemning!G141</f>
        <v>-7140</v>
      </c>
      <c r="H136" t="str">
        <f t="shared" si="6"/>
        <v>42. Skoler</v>
      </c>
      <c r="I136" t="str">
        <f t="shared" si="7"/>
        <v>Tekniske korrektioner</v>
      </c>
      <c r="J136" s="286">
        <f>D136/D134</f>
        <v>-5.1299611072581118E-3</v>
      </c>
      <c r="K136" s="286">
        <f>E136/E134</f>
        <v>-4.3615951281794881E-3</v>
      </c>
      <c r="L136" s="286">
        <f>F136/F134</f>
        <v>-8.6604881398680347E-3</v>
      </c>
      <c r="M136" s="286">
        <f>G136/G134</f>
        <v>-1.0220807490687234E-2</v>
      </c>
    </row>
    <row r="137" spans="1:13" ht="13.15" thickBot="1" x14ac:dyDescent="0.4">
      <c r="A137" t="s">
        <v>112</v>
      </c>
      <c r="B137" s="28" t="s">
        <v>107</v>
      </c>
      <c r="C137" s="28" t="s">
        <v>193</v>
      </c>
      <c r="D137" s="239">
        <f>Afstemning!D142</f>
        <v>141</v>
      </c>
      <c r="E137" s="239">
        <f>Afstemning!E142</f>
        <v>141</v>
      </c>
      <c r="F137" s="239">
        <f>Afstemning!F142</f>
        <v>147</v>
      </c>
      <c r="G137" s="239">
        <f>Afstemning!G142</f>
        <v>152</v>
      </c>
      <c r="H137" t="str">
        <f t="shared" si="6"/>
        <v>42. Skoler</v>
      </c>
      <c r="I137" t="str">
        <f t="shared" si="7"/>
        <v>Afledt drift</v>
      </c>
      <c r="J137" s="286">
        <f>D137/D134</f>
        <v>2.0278231458463518E-4</v>
      </c>
      <c r="K137" s="286">
        <f>E137/E134</f>
        <v>2.0383987838028101E-4</v>
      </c>
      <c r="L137" s="286">
        <f>F137/F134</f>
        <v>2.1042838951414893E-4</v>
      </c>
      <c r="M137" s="286">
        <f>G137/G134</f>
        <v>2.175858177289159E-4</v>
      </c>
    </row>
    <row r="138" spans="1:13" ht="13.15" thickBot="1" x14ac:dyDescent="0.4">
      <c r="A138" t="s">
        <v>112</v>
      </c>
      <c r="B138" t="s">
        <v>108</v>
      </c>
      <c r="C138" s="28" t="s">
        <v>193</v>
      </c>
      <c r="D138" s="239">
        <f>Afstemning!D143</f>
        <v>11166</v>
      </c>
      <c r="E138" s="239">
        <f>Afstemning!E143</f>
        <v>15999</v>
      </c>
      <c r="F138" s="239">
        <f>Afstemning!F143</f>
        <v>15966</v>
      </c>
      <c r="G138" s="239">
        <f>Afstemning!G143</f>
        <v>13317</v>
      </c>
      <c r="H138" t="str">
        <f t="shared" si="6"/>
        <v>42. Skoler</v>
      </c>
      <c r="I138" t="str">
        <f t="shared" si="7"/>
        <v>Budgetønsker</v>
      </c>
      <c r="J138" s="286">
        <f>D138/D134</f>
        <v>1.605863350817047E-2</v>
      </c>
      <c r="K138" s="286">
        <f>E138/E134</f>
        <v>2.3129320668128481E-2</v>
      </c>
      <c r="L138" s="286">
        <f>F138/F134</f>
        <v>2.2855099775393888E-2</v>
      </c>
      <c r="M138" s="286">
        <f>G138/G134</f>
        <v>1.9063094307210347E-2</v>
      </c>
    </row>
    <row r="139" spans="1:13" ht="13.15" thickBot="1" x14ac:dyDescent="0.4">
      <c r="A139" t="s">
        <v>112</v>
      </c>
      <c r="B139" t="s">
        <v>39</v>
      </c>
      <c r="C139" s="28" t="s">
        <v>193</v>
      </c>
      <c r="D139" s="239">
        <f>Afstemning!D144</f>
        <v>-8717</v>
      </c>
      <c r="E139" s="239">
        <f>Afstemning!E144</f>
        <v>-10000</v>
      </c>
      <c r="F139" s="239">
        <f>Afstemning!F144</f>
        <v>-10000</v>
      </c>
      <c r="G139" s="239">
        <f>Afstemning!G144</f>
        <v>-10000</v>
      </c>
      <c r="H139" t="str">
        <f t="shared" si="6"/>
        <v>42. Skoler</v>
      </c>
      <c r="I139" t="str">
        <f t="shared" si="7"/>
        <v>Finansieringsforslag</v>
      </c>
      <c r="J139" s="286">
        <f>D139/D134</f>
        <v>-1.2536549193150816E-2</v>
      </c>
      <c r="K139" s="286">
        <f>E139/E134</f>
        <v>-1.4456728963140498E-2</v>
      </c>
      <c r="L139" s="286">
        <f>F139/F134</f>
        <v>-1.431485642953394E-2</v>
      </c>
      <c r="M139" s="286">
        <f>G139/G134</f>
        <v>-1.431485642953394E-2</v>
      </c>
    </row>
    <row r="140" spans="1:13" x14ac:dyDescent="0.35">
      <c r="A140" t="s">
        <v>112</v>
      </c>
      <c r="B140" s="28" t="s">
        <v>183</v>
      </c>
      <c r="C140" s="28" t="s">
        <v>193</v>
      </c>
      <c r="D140" s="105">
        <f>SUM(D135:D139)</f>
        <v>694349.90899999999</v>
      </c>
      <c r="E140" s="105">
        <f>SUM(E135:E139)</f>
        <v>694842.40800000005</v>
      </c>
      <c r="F140" s="105">
        <f>SUM(F135:F139)</f>
        <v>698637.94200000004</v>
      </c>
      <c r="G140" s="105">
        <f>SUM(G135:G139)</f>
        <v>694903.94200000004</v>
      </c>
      <c r="H140" t="str">
        <f t="shared" si="6"/>
        <v>42. Skoler</v>
      </c>
      <c r="I140" t="str">
        <f t="shared" si="7"/>
        <v>Vedtaget budget 2020 - 2023</v>
      </c>
      <c r="J140" s="105"/>
      <c r="K140" s="105"/>
      <c r="L140" s="105"/>
      <c r="M140" s="105"/>
    </row>
    <row r="141" spans="1:13" x14ac:dyDescent="0.35">
      <c r="D141" s="105"/>
      <c r="E141" s="105"/>
      <c r="F141" s="105"/>
      <c r="G141" s="105"/>
      <c r="H141">
        <f t="shared" si="6"/>
        <v>0</v>
      </c>
      <c r="I141">
        <f t="shared" si="7"/>
        <v>0</v>
      </c>
      <c r="J141" s="105"/>
      <c r="K141" s="105"/>
      <c r="L141" s="105"/>
      <c r="M141" s="105"/>
    </row>
    <row r="142" spans="1:13" ht="13.15" thickBot="1" x14ac:dyDescent="0.4">
      <c r="D142" s="105"/>
      <c r="E142" s="105"/>
      <c r="F142" s="105"/>
      <c r="G142" s="105"/>
      <c r="H142">
        <f t="shared" si="6"/>
        <v>0</v>
      </c>
      <c r="I142">
        <f t="shared" si="7"/>
        <v>0</v>
      </c>
      <c r="J142" s="105"/>
      <c r="K142" s="105"/>
      <c r="L142" s="105"/>
      <c r="M142" s="105"/>
    </row>
    <row r="143" spans="1:13" ht="13.15" thickBot="1" x14ac:dyDescent="0.4">
      <c r="A143" s="28" t="s">
        <v>144</v>
      </c>
      <c r="B143" t="s">
        <v>189</v>
      </c>
      <c r="C143" s="28" t="s">
        <v>193</v>
      </c>
      <c r="D143" s="239">
        <v>5930.6490000000003</v>
      </c>
      <c r="E143" s="239">
        <v>6136.6490000000003</v>
      </c>
      <c r="F143" s="239">
        <v>6136.6490000000003</v>
      </c>
      <c r="G143" s="239">
        <v>6136.6490000000003</v>
      </c>
      <c r="H143" t="str">
        <f t="shared" si="6"/>
        <v>43. Kriminalpræve- og bolisociale aktiviter</v>
      </c>
      <c r="I143" t="str">
        <f t="shared" si="7"/>
        <v>Serviceramme ompr.sag</v>
      </c>
      <c r="J143" s="105"/>
      <c r="K143" s="105"/>
      <c r="L143" s="105"/>
      <c r="M143" s="105"/>
    </row>
    <row r="144" spans="1:13" ht="13.15" thickBot="1" x14ac:dyDescent="0.4">
      <c r="A144" s="28" t="s">
        <v>144</v>
      </c>
      <c r="B144" s="28" t="s">
        <v>185</v>
      </c>
      <c r="C144" s="28" t="s">
        <v>193</v>
      </c>
      <c r="D144" s="239">
        <f>Afstemning!D149</f>
        <v>5930.6490000000003</v>
      </c>
      <c r="E144" s="239">
        <f>Afstemning!E149</f>
        <v>6136.6490000000003</v>
      </c>
      <c r="F144" s="239">
        <f>Afstemning!F149</f>
        <v>6136.6490000000003</v>
      </c>
      <c r="G144" s="239">
        <f>Afstemning!G149</f>
        <v>6136.6490000000003</v>
      </c>
      <c r="H144" t="str">
        <f t="shared" si="6"/>
        <v>43. Kriminalpræve- og bolisociale aktiviter</v>
      </c>
      <c r="I144" t="str">
        <f t="shared" si="7"/>
        <v xml:space="preserve">Driftsramme </v>
      </c>
      <c r="J144" s="211"/>
      <c r="K144" s="211"/>
      <c r="L144" s="211"/>
      <c r="M144" s="211"/>
    </row>
    <row r="145" spans="1:13" ht="13.15" thickBot="1" x14ac:dyDescent="0.4">
      <c r="A145" s="28" t="s">
        <v>144</v>
      </c>
      <c r="B145" t="s">
        <v>29</v>
      </c>
      <c r="C145" s="28" t="s">
        <v>193</v>
      </c>
      <c r="D145" s="239">
        <f>Afstemning!D150</f>
        <v>263</v>
      </c>
      <c r="E145" s="239">
        <f>Afstemning!E150</f>
        <v>99</v>
      </c>
      <c r="F145" s="239">
        <f>Afstemning!F150</f>
        <v>99</v>
      </c>
      <c r="G145" s="239">
        <f>Afstemning!G150</f>
        <v>100</v>
      </c>
      <c r="H145" t="str">
        <f t="shared" si="6"/>
        <v>43. Kriminalpræve- og bolisociale aktiviter</v>
      </c>
      <c r="I145" t="str">
        <f t="shared" si="7"/>
        <v>Tekniske korrektioner</v>
      </c>
      <c r="J145" s="286">
        <f>D145/D143</f>
        <v>4.4345905481845242E-2</v>
      </c>
      <c r="K145" s="286">
        <f>E145/E143</f>
        <v>1.613258310846848E-2</v>
      </c>
      <c r="L145" s="286">
        <f>F145/F143</f>
        <v>1.613258310846848E-2</v>
      </c>
      <c r="M145" s="286">
        <f>G145/G143</f>
        <v>1.6295538493402505E-2</v>
      </c>
    </row>
    <row r="146" spans="1:13" ht="13.15" thickBot="1" x14ac:dyDescent="0.4">
      <c r="A146" s="28" t="s">
        <v>144</v>
      </c>
      <c r="B146" s="28" t="s">
        <v>107</v>
      </c>
      <c r="C146" s="28" t="s">
        <v>193</v>
      </c>
      <c r="D146" s="239">
        <f>Afstemning!D151</f>
        <v>0</v>
      </c>
      <c r="E146" s="239">
        <f>Afstemning!E151</f>
        <v>0</v>
      </c>
      <c r="F146" s="239">
        <f>Afstemning!F151</f>
        <v>0</v>
      </c>
      <c r="G146" s="239">
        <f>Afstemning!G151</f>
        <v>0</v>
      </c>
      <c r="H146" t="str">
        <f t="shared" si="6"/>
        <v>43. Kriminalpræve- og bolisociale aktiviter</v>
      </c>
      <c r="I146" t="str">
        <f t="shared" si="7"/>
        <v>Afledt drift</v>
      </c>
      <c r="J146" s="286">
        <f>D146/D143</f>
        <v>0</v>
      </c>
      <c r="K146" s="286">
        <f>E146/E143</f>
        <v>0</v>
      </c>
      <c r="L146" s="286">
        <f>F146/F143</f>
        <v>0</v>
      </c>
      <c r="M146" s="286">
        <f>G146/G143</f>
        <v>0</v>
      </c>
    </row>
    <row r="147" spans="1:13" ht="13.15" thickBot="1" x14ac:dyDescent="0.4">
      <c r="A147" s="28" t="s">
        <v>144</v>
      </c>
      <c r="B147" t="s">
        <v>108</v>
      </c>
      <c r="C147" s="28" t="s">
        <v>193</v>
      </c>
      <c r="D147" s="239">
        <f>Afstemning!D152</f>
        <v>0</v>
      </c>
      <c r="E147" s="239">
        <f>Afstemning!E152</f>
        <v>0</v>
      </c>
      <c r="F147" s="239">
        <f>Afstemning!F152</f>
        <v>0</v>
      </c>
      <c r="G147" s="239">
        <f>Afstemning!G152</f>
        <v>0</v>
      </c>
      <c r="H147" t="str">
        <f t="shared" si="6"/>
        <v>43. Kriminalpræve- og bolisociale aktiviter</v>
      </c>
      <c r="I147" t="str">
        <f t="shared" si="7"/>
        <v>Budgetønsker</v>
      </c>
      <c r="J147" s="286">
        <f>D147/D143</f>
        <v>0</v>
      </c>
      <c r="K147" s="286">
        <f>E147/E143</f>
        <v>0</v>
      </c>
      <c r="L147" s="286">
        <f>F147/F143</f>
        <v>0</v>
      </c>
      <c r="M147" s="286">
        <f>G147/G143</f>
        <v>0</v>
      </c>
    </row>
    <row r="148" spans="1:13" ht="13.15" thickBot="1" x14ac:dyDescent="0.4">
      <c r="A148" s="28" t="s">
        <v>144</v>
      </c>
      <c r="B148" t="s">
        <v>39</v>
      </c>
      <c r="C148" s="28" t="s">
        <v>193</v>
      </c>
      <c r="D148" s="239">
        <f>Afstemning!D153</f>
        <v>0</v>
      </c>
      <c r="E148" s="239">
        <f>Afstemning!E153</f>
        <v>0</v>
      </c>
      <c r="F148" s="239">
        <f>Afstemning!F153</f>
        <v>0</v>
      </c>
      <c r="G148" s="239">
        <f>Afstemning!G153</f>
        <v>0</v>
      </c>
      <c r="H148" t="str">
        <f t="shared" si="6"/>
        <v>43. Kriminalpræve- og bolisociale aktiviter</v>
      </c>
      <c r="I148" t="str">
        <f t="shared" si="7"/>
        <v>Finansieringsforslag</v>
      </c>
      <c r="J148" s="286">
        <f>D148/D143</f>
        <v>0</v>
      </c>
      <c r="K148" s="286">
        <f>E148/E143</f>
        <v>0</v>
      </c>
      <c r="L148" s="286">
        <f>F148/F143</f>
        <v>0</v>
      </c>
      <c r="M148" s="286">
        <f>G148/G143</f>
        <v>0</v>
      </c>
    </row>
    <row r="149" spans="1:13" x14ac:dyDescent="0.35">
      <c r="A149" s="28" t="s">
        <v>144</v>
      </c>
      <c r="B149" s="28" t="s">
        <v>183</v>
      </c>
      <c r="C149" s="28" t="s">
        <v>193</v>
      </c>
      <c r="D149" s="105">
        <f>SUM(D144:D148)</f>
        <v>6193.6490000000003</v>
      </c>
      <c r="E149" s="105">
        <f>SUM(E144:E148)</f>
        <v>6235.6490000000003</v>
      </c>
      <c r="F149" s="105">
        <f>SUM(F144:F148)</f>
        <v>6235.6490000000003</v>
      </c>
      <c r="G149" s="105">
        <f>SUM(G144:G148)</f>
        <v>6236.6490000000003</v>
      </c>
      <c r="H149" t="str">
        <f t="shared" si="6"/>
        <v>43. Kriminalpræve- og bolisociale aktiviter</v>
      </c>
      <c r="I149" t="str">
        <f t="shared" si="7"/>
        <v>Vedtaget budget 2020 - 2023</v>
      </c>
      <c r="J149" s="105"/>
      <c r="K149" s="105"/>
      <c r="L149" s="105"/>
      <c r="M149" s="105"/>
    </row>
    <row r="150" spans="1:13" x14ac:dyDescent="0.35">
      <c r="D150" s="105"/>
      <c r="E150" s="105"/>
      <c r="F150" s="105"/>
      <c r="G150" s="105"/>
      <c r="H150">
        <f t="shared" si="6"/>
        <v>0</v>
      </c>
      <c r="I150">
        <f t="shared" si="7"/>
        <v>0</v>
      </c>
      <c r="J150" s="105"/>
      <c r="K150" s="105"/>
      <c r="L150" s="105"/>
      <c r="M150" s="105"/>
    </row>
    <row r="151" spans="1:13" ht="13.15" thickBot="1" x14ac:dyDescent="0.4">
      <c r="D151" s="105"/>
      <c r="E151" s="105"/>
      <c r="F151" s="105"/>
      <c r="G151" s="105"/>
      <c r="H151">
        <f t="shared" si="6"/>
        <v>0</v>
      </c>
      <c r="I151">
        <f t="shared" si="7"/>
        <v>0</v>
      </c>
      <c r="J151" s="105"/>
      <c r="K151" s="105"/>
      <c r="L151" s="105"/>
      <c r="M151" s="105"/>
    </row>
    <row r="152" spans="1:13" ht="13.15" thickBot="1" x14ac:dyDescent="0.4">
      <c r="A152" t="s">
        <v>113</v>
      </c>
      <c r="B152" t="s">
        <v>189</v>
      </c>
      <c r="C152" s="28" t="s">
        <v>193</v>
      </c>
      <c r="D152" s="239">
        <v>221531.652</v>
      </c>
      <c r="E152" s="239">
        <v>218369.30600000001</v>
      </c>
      <c r="F152" s="239">
        <v>213245.345</v>
      </c>
      <c r="G152" s="239">
        <v>213245.345</v>
      </c>
      <c r="H152" t="str">
        <f t="shared" si="6"/>
        <v>44. Familier</v>
      </c>
      <c r="I152" t="str">
        <f t="shared" si="7"/>
        <v>Serviceramme ompr.sag</v>
      </c>
      <c r="J152" s="105"/>
      <c r="K152" s="105"/>
      <c r="L152" s="105"/>
      <c r="M152" s="105"/>
    </row>
    <row r="153" spans="1:13" ht="13.15" thickBot="1" x14ac:dyDescent="0.4">
      <c r="A153" t="s">
        <v>113</v>
      </c>
      <c r="B153" s="28" t="s">
        <v>185</v>
      </c>
      <c r="C153" s="28" t="s">
        <v>193</v>
      </c>
      <c r="D153" s="239">
        <f>Afstemning!D158</f>
        <v>233243.53200000001</v>
      </c>
      <c r="E153" s="239">
        <f>Afstemning!E158</f>
        <v>229342.37100000001</v>
      </c>
      <c r="F153" s="239">
        <f>Afstemning!F158</f>
        <v>223336.43</v>
      </c>
      <c r="G153" s="239">
        <f>Afstemning!G158</f>
        <v>223336.43</v>
      </c>
      <c r="H153" t="str">
        <f t="shared" si="6"/>
        <v>44. Familier</v>
      </c>
      <c r="I153" t="str">
        <f t="shared" si="7"/>
        <v xml:space="preserve">Driftsramme </v>
      </c>
      <c r="J153" s="211"/>
      <c r="K153" s="211"/>
      <c r="L153" s="211"/>
      <c r="M153" s="211"/>
    </row>
    <row r="154" spans="1:13" ht="13.15" thickBot="1" x14ac:dyDescent="0.4">
      <c r="A154" t="s">
        <v>113</v>
      </c>
      <c r="B154" t="s">
        <v>29</v>
      </c>
      <c r="C154" s="28" t="s">
        <v>193</v>
      </c>
      <c r="D154" s="239">
        <f>Afstemning!D159</f>
        <v>8130</v>
      </c>
      <c r="E154" s="239">
        <f>Afstemning!E159</f>
        <v>8679</v>
      </c>
      <c r="F154" s="239">
        <f>Afstemning!F159</f>
        <v>9639</v>
      </c>
      <c r="G154" s="239">
        <f>Afstemning!G159</f>
        <v>9562</v>
      </c>
      <c r="H154" t="str">
        <f t="shared" si="6"/>
        <v>44. Familier</v>
      </c>
      <c r="I154" t="str">
        <f t="shared" si="7"/>
        <v>Tekniske korrektioner</v>
      </c>
      <c r="J154" s="286">
        <f>D154/D152</f>
        <v>3.6699044703553244E-2</v>
      </c>
      <c r="K154" s="286">
        <f>E154/E152</f>
        <v>3.9744596706278855E-2</v>
      </c>
      <c r="L154" s="286">
        <f>F154/F152</f>
        <v>4.5201455628492149E-2</v>
      </c>
      <c r="M154" s="286">
        <f>G154/G152</f>
        <v>4.4840369200087347E-2</v>
      </c>
    </row>
    <row r="155" spans="1:13" ht="13.15" thickBot="1" x14ac:dyDescent="0.4">
      <c r="A155" t="s">
        <v>113</v>
      </c>
      <c r="B155" s="28" t="s">
        <v>107</v>
      </c>
      <c r="C155" s="28" t="s">
        <v>193</v>
      </c>
      <c r="D155" s="239">
        <f>Afstemning!D160</f>
        <v>0</v>
      </c>
      <c r="E155" s="239">
        <f>Afstemning!E160</f>
        <v>0</v>
      </c>
      <c r="F155" s="239">
        <f>Afstemning!F160</f>
        <v>0</v>
      </c>
      <c r="G155" s="239">
        <f>Afstemning!G160</f>
        <v>0</v>
      </c>
      <c r="H155" t="str">
        <f t="shared" si="6"/>
        <v>44. Familier</v>
      </c>
      <c r="I155" t="str">
        <f t="shared" si="7"/>
        <v>Afledt drift</v>
      </c>
      <c r="J155" s="286">
        <f>D155/D152</f>
        <v>0</v>
      </c>
      <c r="K155" s="286">
        <f>E155/E152</f>
        <v>0</v>
      </c>
      <c r="L155" s="286">
        <f>F155/F152</f>
        <v>0</v>
      </c>
      <c r="M155" s="286">
        <f>G155/G152</f>
        <v>0</v>
      </c>
    </row>
    <row r="156" spans="1:13" ht="13.15" thickBot="1" x14ac:dyDescent="0.4">
      <c r="A156" t="s">
        <v>113</v>
      </c>
      <c r="B156" t="s">
        <v>108</v>
      </c>
      <c r="C156" s="28" t="s">
        <v>193</v>
      </c>
      <c r="D156" s="239">
        <f>Afstemning!D161</f>
        <v>12195</v>
      </c>
      <c r="E156" s="239">
        <f>Afstemning!E161</f>
        <v>17937</v>
      </c>
      <c r="F156" s="239">
        <f>Afstemning!F161</f>
        <v>20264</v>
      </c>
      <c r="G156" s="239">
        <f>Afstemning!G161</f>
        <v>15153</v>
      </c>
      <c r="H156" t="str">
        <f t="shared" si="6"/>
        <v>44. Familier</v>
      </c>
      <c r="I156" t="str">
        <f t="shared" si="7"/>
        <v>Budgetønsker</v>
      </c>
      <c r="J156" s="286">
        <f>D156/D152</f>
        <v>5.5048567055329865E-2</v>
      </c>
      <c r="K156" s="286">
        <f>E156/E152</f>
        <v>8.2140664952243786E-2</v>
      </c>
      <c r="L156" s="286">
        <f>F156/F152</f>
        <v>9.5026693314219826E-2</v>
      </c>
      <c r="M156" s="286">
        <f>G156/G152</f>
        <v>7.1058995449584134E-2</v>
      </c>
    </row>
    <row r="157" spans="1:13" ht="13.15" thickBot="1" x14ac:dyDescent="0.4">
      <c r="A157" t="s">
        <v>113</v>
      </c>
      <c r="B157" t="s">
        <v>39</v>
      </c>
      <c r="C157" s="28" t="s">
        <v>193</v>
      </c>
      <c r="D157" s="239">
        <f>Afstemning!D162</f>
        <v>-2520</v>
      </c>
      <c r="E157" s="239">
        <f>Afstemning!E162</f>
        <v>-3610</v>
      </c>
      <c r="F157" s="239">
        <f>Afstemning!F162</f>
        <v>-4010</v>
      </c>
      <c r="G157" s="239">
        <f>Afstemning!G162</f>
        <v>-4010</v>
      </c>
      <c r="H157" t="str">
        <f t="shared" si="6"/>
        <v>44. Familier</v>
      </c>
      <c r="I157" t="str">
        <f t="shared" si="7"/>
        <v>Finansieringsforslag</v>
      </c>
      <c r="J157" s="286">
        <f>D157/D152</f>
        <v>-1.137534964980986E-2</v>
      </c>
      <c r="K157" s="286">
        <f>E157/E152</f>
        <v>-1.653162738906172E-2</v>
      </c>
      <c r="L157" s="286">
        <f>F157/F152</f>
        <v>-1.8804630881860514E-2</v>
      </c>
      <c r="M157" s="286">
        <f>G157/G152</f>
        <v>-1.8804630881860514E-2</v>
      </c>
    </row>
    <row r="158" spans="1:13" x14ac:dyDescent="0.35">
      <c r="A158" t="s">
        <v>113</v>
      </c>
      <c r="B158" s="28" t="s">
        <v>183</v>
      </c>
      <c r="C158" s="28" t="s">
        <v>193</v>
      </c>
      <c r="D158" s="105">
        <f>SUM(D153:D157)</f>
        <v>251048.53200000001</v>
      </c>
      <c r="E158" s="105">
        <f>SUM(E153:E157)</f>
        <v>252348.37100000001</v>
      </c>
      <c r="F158" s="105">
        <f>SUM(F153:F157)</f>
        <v>249229.43</v>
      </c>
      <c r="G158" s="105">
        <f>SUM(G153:G157)</f>
        <v>244041.43</v>
      </c>
      <c r="H158" t="str">
        <f t="shared" si="6"/>
        <v>44. Familier</v>
      </c>
      <c r="I158" t="str">
        <f t="shared" si="7"/>
        <v>Vedtaget budget 2020 - 2023</v>
      </c>
      <c r="J158" s="105"/>
      <c r="K158" s="105"/>
      <c r="L158" s="105"/>
      <c r="M158" s="105"/>
    </row>
    <row r="159" spans="1:13" x14ac:dyDescent="0.35">
      <c r="D159" s="105"/>
      <c r="E159" s="105"/>
      <c r="F159" s="105"/>
      <c r="G159" s="105"/>
      <c r="H159">
        <f t="shared" si="6"/>
        <v>0</v>
      </c>
      <c r="I159">
        <f t="shared" si="7"/>
        <v>0</v>
      </c>
      <c r="J159" s="105"/>
      <c r="K159" s="105"/>
      <c r="L159" s="105"/>
      <c r="M159" s="105"/>
    </row>
    <row r="160" spans="1:13" ht="13.15" thickBot="1" x14ac:dyDescent="0.4">
      <c r="D160" s="105"/>
      <c r="E160" s="105"/>
      <c r="F160" s="105"/>
      <c r="G160" s="105"/>
      <c r="H160">
        <f t="shared" si="6"/>
        <v>0</v>
      </c>
      <c r="I160">
        <f t="shared" si="7"/>
        <v>0</v>
      </c>
      <c r="J160" s="105"/>
      <c r="K160" s="105"/>
      <c r="L160" s="105"/>
      <c r="M160" s="105"/>
    </row>
    <row r="161" spans="1:13" ht="13.15" thickBot="1" x14ac:dyDescent="0.4">
      <c r="A161" s="28" t="s">
        <v>445</v>
      </c>
      <c r="B161" t="s">
        <v>189</v>
      </c>
      <c r="C161" s="28" t="s">
        <v>462</v>
      </c>
      <c r="D161" s="239">
        <v>106195.37300000001</v>
      </c>
      <c r="E161" s="239">
        <v>96853.656000000003</v>
      </c>
      <c r="F161" s="239">
        <v>96918.358999999997</v>
      </c>
      <c r="G161" s="239">
        <v>96918.358999999997</v>
      </c>
      <c r="H161" t="str">
        <f t="shared" si="6"/>
        <v>45. Kultur, Idræt og Lokalsamfund</v>
      </c>
      <c r="I161" t="str">
        <f t="shared" si="7"/>
        <v>Serviceramme ompr.sag</v>
      </c>
      <c r="J161" s="105"/>
      <c r="K161" s="105"/>
      <c r="L161" s="105"/>
      <c r="M161" s="105"/>
    </row>
    <row r="162" spans="1:13" ht="13.15" thickBot="1" x14ac:dyDescent="0.4">
      <c r="A162" s="28" t="s">
        <v>445</v>
      </c>
      <c r="B162" s="28" t="s">
        <v>185</v>
      </c>
      <c r="C162" s="28" t="s">
        <v>462</v>
      </c>
      <c r="D162" s="239">
        <f>Afstemning!D167</f>
        <v>106195.37300000001</v>
      </c>
      <c r="E162" s="239">
        <f>Afstemning!E167</f>
        <v>96853.656000000003</v>
      </c>
      <c r="F162" s="239">
        <f>Afstemning!F167</f>
        <v>96918.358999999997</v>
      </c>
      <c r="G162" s="239">
        <f>Afstemning!G167</f>
        <v>96918.358999999997</v>
      </c>
      <c r="H162" t="str">
        <f t="shared" si="6"/>
        <v>45. Kultur, Idræt og Lokalsamfund</v>
      </c>
      <c r="I162" t="str">
        <f t="shared" si="7"/>
        <v xml:space="preserve">Driftsramme </v>
      </c>
      <c r="J162" s="211"/>
      <c r="K162" s="211"/>
      <c r="L162" s="211"/>
      <c r="M162" s="211"/>
    </row>
    <row r="163" spans="1:13" ht="13.15" thickBot="1" x14ac:dyDescent="0.4">
      <c r="A163" s="28" t="s">
        <v>445</v>
      </c>
      <c r="B163" t="s">
        <v>29</v>
      </c>
      <c r="C163" s="28" t="s">
        <v>462</v>
      </c>
      <c r="D163" s="239">
        <f>Afstemning!D168</f>
        <v>-3258</v>
      </c>
      <c r="E163" s="239">
        <f>Afstemning!E168</f>
        <v>-82</v>
      </c>
      <c r="F163" s="239">
        <f>Afstemning!F168</f>
        <v>-83</v>
      </c>
      <c r="G163" s="239">
        <f>Afstemning!G168</f>
        <v>-83</v>
      </c>
      <c r="H163" t="str">
        <f t="shared" si="6"/>
        <v>45. Kultur, Idræt og Lokalsamfund</v>
      </c>
      <c r="I163" t="str">
        <f t="shared" si="7"/>
        <v>Tekniske korrektioner</v>
      </c>
      <c r="J163" s="286">
        <f>D163/D161</f>
        <v>-3.0679302760205945E-2</v>
      </c>
      <c r="K163" s="286">
        <f>E163/E161</f>
        <v>-8.4663814858986842E-4</v>
      </c>
      <c r="L163" s="286">
        <f>F163/F161</f>
        <v>-8.563908928751054E-4</v>
      </c>
      <c r="M163" s="286">
        <f>G163/G161</f>
        <v>-8.563908928751054E-4</v>
      </c>
    </row>
    <row r="164" spans="1:13" ht="13.15" thickBot="1" x14ac:dyDescent="0.4">
      <c r="A164" s="28" t="s">
        <v>445</v>
      </c>
      <c r="B164" s="28" t="s">
        <v>107</v>
      </c>
      <c r="C164" s="28" t="s">
        <v>462</v>
      </c>
      <c r="D164" s="239">
        <f>Afstemning!D169</f>
        <v>35</v>
      </c>
      <c r="E164" s="239">
        <f>Afstemning!E169</f>
        <v>35</v>
      </c>
      <c r="F164" s="239">
        <f>Afstemning!F169</f>
        <v>35</v>
      </c>
      <c r="G164" s="239">
        <f>Afstemning!G169</f>
        <v>35</v>
      </c>
      <c r="H164" t="str">
        <f t="shared" si="6"/>
        <v>45. Kultur, Idræt og Lokalsamfund</v>
      </c>
      <c r="I164" t="str">
        <f t="shared" si="7"/>
        <v>Afledt drift</v>
      </c>
      <c r="J164" s="286">
        <f>D164/D161</f>
        <v>3.2958121442824064E-4</v>
      </c>
      <c r="K164" s="286">
        <f>E164/E161</f>
        <v>3.6136994147128527E-4</v>
      </c>
      <c r="L164" s="286">
        <f>F164/F161</f>
        <v>3.6112868976661069E-4</v>
      </c>
      <c r="M164" s="286">
        <f>G164/G161</f>
        <v>3.6112868976661069E-4</v>
      </c>
    </row>
    <row r="165" spans="1:13" ht="13.15" thickBot="1" x14ac:dyDescent="0.4">
      <c r="A165" s="28" t="s">
        <v>445</v>
      </c>
      <c r="B165" t="s">
        <v>108</v>
      </c>
      <c r="C165" s="28" t="s">
        <v>462</v>
      </c>
      <c r="D165" s="239">
        <f>Afstemning!D170</f>
        <v>485</v>
      </c>
      <c r="E165" s="239">
        <f>Afstemning!E170</f>
        <v>485</v>
      </c>
      <c r="F165" s="239">
        <f>Afstemning!F170</f>
        <v>485</v>
      </c>
      <c r="G165" s="239">
        <f>Afstemning!G170</f>
        <v>485</v>
      </c>
      <c r="H165" t="str">
        <f t="shared" si="6"/>
        <v>45. Kultur, Idræt og Lokalsamfund</v>
      </c>
      <c r="I165" t="str">
        <f t="shared" si="7"/>
        <v>Budgetønsker</v>
      </c>
      <c r="J165" s="286">
        <f>D165/D161</f>
        <v>4.5670539713627634E-3</v>
      </c>
      <c r="K165" s="286">
        <f>E165/E161</f>
        <v>5.0075549032449537E-3</v>
      </c>
      <c r="L165" s="286">
        <f>F165/F161</f>
        <v>5.0042118439087482E-3</v>
      </c>
      <c r="M165" s="286">
        <f>G165/G161</f>
        <v>5.0042118439087482E-3</v>
      </c>
    </row>
    <row r="166" spans="1:13" ht="13.15" thickBot="1" x14ac:dyDescent="0.4">
      <c r="A166" s="28" t="s">
        <v>445</v>
      </c>
      <c r="B166" t="s">
        <v>39</v>
      </c>
      <c r="C166" s="28" t="s">
        <v>462</v>
      </c>
      <c r="D166" s="239">
        <f>Afstemning!D171</f>
        <v>-4788</v>
      </c>
      <c r="E166" s="239">
        <f>Afstemning!E171</f>
        <v>1651</v>
      </c>
      <c r="F166" s="239">
        <f>Afstemning!F171</f>
        <v>-349</v>
      </c>
      <c r="G166" s="239">
        <f>Afstemning!G171</f>
        <v>-349</v>
      </c>
      <c r="H166" t="str">
        <f t="shared" si="6"/>
        <v>45. Kultur, Idræt og Lokalsamfund</v>
      </c>
      <c r="I166" t="str">
        <f t="shared" si="7"/>
        <v>Finansieringsforslag</v>
      </c>
      <c r="J166" s="286">
        <f>D166/D161</f>
        <v>-4.508671013378332E-2</v>
      </c>
      <c r="K166" s="286">
        <f>E166/E161</f>
        <v>1.7046336381974059E-2</v>
      </c>
      <c r="L166" s="286">
        <f>F166/F161</f>
        <v>-3.6009689351013466E-3</v>
      </c>
      <c r="M166" s="286">
        <f>G166/G161</f>
        <v>-3.6009689351013466E-3</v>
      </c>
    </row>
    <row r="167" spans="1:13" x14ac:dyDescent="0.35">
      <c r="A167" s="28" t="s">
        <v>445</v>
      </c>
      <c r="B167" s="28" t="s">
        <v>183</v>
      </c>
      <c r="C167" s="28" t="s">
        <v>462</v>
      </c>
      <c r="D167" s="105">
        <f>SUM(D162:D166)</f>
        <v>98669.373000000007</v>
      </c>
      <c r="E167" s="105">
        <f>SUM(E162:E166)</f>
        <v>98942.656000000003</v>
      </c>
      <c r="F167" s="105">
        <f>SUM(F162:F166)</f>
        <v>97006.358999999997</v>
      </c>
      <c r="G167" s="105">
        <f>SUM(G162:G166)</f>
        <v>97006.358999999997</v>
      </c>
      <c r="H167" t="str">
        <f t="shared" si="6"/>
        <v>45. Kultur, Idræt og Lokalsamfund</v>
      </c>
      <c r="I167" t="str">
        <f t="shared" si="7"/>
        <v>Vedtaget budget 2020 - 2023</v>
      </c>
      <c r="J167" s="105"/>
      <c r="K167" s="105"/>
      <c r="L167" s="105"/>
      <c r="M167" s="105"/>
    </row>
    <row r="168" spans="1:13" x14ac:dyDescent="0.35">
      <c r="D168" s="105"/>
      <c r="E168" s="105"/>
      <c r="F168" s="105"/>
      <c r="G168" s="105"/>
      <c r="H168">
        <f t="shared" si="6"/>
        <v>0</v>
      </c>
      <c r="I168">
        <f t="shared" si="7"/>
        <v>0</v>
      </c>
      <c r="J168" s="105"/>
      <c r="K168" s="105"/>
      <c r="L168" s="105"/>
      <c r="M168" s="105"/>
    </row>
    <row r="169" spans="1:13" ht="13.15" thickBot="1" x14ac:dyDescent="0.4">
      <c r="D169" s="105"/>
      <c r="E169" s="105"/>
      <c r="F169" s="105"/>
      <c r="G169" s="105"/>
      <c r="H169">
        <f t="shared" si="6"/>
        <v>0</v>
      </c>
      <c r="I169">
        <f t="shared" si="7"/>
        <v>0</v>
      </c>
      <c r="J169" s="105"/>
      <c r="K169" s="105"/>
      <c r="L169" s="105"/>
      <c r="M169" s="105"/>
    </row>
    <row r="170" spans="1:13" ht="13.15" thickBot="1" x14ac:dyDescent="0.4">
      <c r="A170" t="s">
        <v>114</v>
      </c>
      <c r="B170" t="s">
        <v>189</v>
      </c>
      <c r="C170" t="s">
        <v>191</v>
      </c>
      <c r="D170" s="239">
        <v>6177.7839999999997</v>
      </c>
      <c r="E170" s="239">
        <v>6176.7550000000001</v>
      </c>
      <c r="F170" s="239">
        <v>6176.7550000000001</v>
      </c>
      <c r="G170" s="239">
        <v>6176.7550000000001</v>
      </c>
      <c r="H170" t="str">
        <f t="shared" si="6"/>
        <v>46. Folkeoplysning</v>
      </c>
      <c r="I170" t="str">
        <f t="shared" si="7"/>
        <v>Serviceramme ompr.sag</v>
      </c>
      <c r="J170" s="105"/>
      <c r="K170" s="105"/>
      <c r="L170" s="105"/>
      <c r="M170" s="105"/>
    </row>
    <row r="171" spans="1:13" ht="13.15" thickBot="1" x14ac:dyDescent="0.4">
      <c r="A171" t="s">
        <v>114</v>
      </c>
      <c r="B171" s="28" t="s">
        <v>185</v>
      </c>
      <c r="C171" t="s">
        <v>191</v>
      </c>
      <c r="D171" s="239">
        <f>Afstemning!D176</f>
        <v>6177.7839999999997</v>
      </c>
      <c r="E171" s="239">
        <f>Afstemning!E176</f>
        <v>6176.7550000000001</v>
      </c>
      <c r="F171" s="239">
        <f>Afstemning!F176</f>
        <v>6176.7550000000001</v>
      </c>
      <c r="G171" s="239">
        <f>Afstemning!G176</f>
        <v>6176.7550000000001</v>
      </c>
      <c r="H171" t="str">
        <f t="shared" si="6"/>
        <v>46. Folkeoplysning</v>
      </c>
      <c r="I171" t="str">
        <f t="shared" si="7"/>
        <v xml:space="preserve">Driftsramme </v>
      </c>
      <c r="J171" s="211"/>
      <c r="K171" s="211"/>
      <c r="L171" s="211"/>
      <c r="M171" s="211"/>
    </row>
    <row r="172" spans="1:13" ht="13.15" thickBot="1" x14ac:dyDescent="0.4">
      <c r="A172" t="s">
        <v>114</v>
      </c>
      <c r="B172" t="s">
        <v>29</v>
      </c>
      <c r="C172" t="s">
        <v>191</v>
      </c>
      <c r="D172" s="239">
        <f>Afstemning!D177</f>
        <v>236</v>
      </c>
      <c r="E172" s="239">
        <f>Afstemning!E177</f>
        <v>236</v>
      </c>
      <c r="F172" s="239">
        <f>Afstemning!F177</f>
        <v>236</v>
      </c>
      <c r="G172" s="239">
        <f>Afstemning!G177</f>
        <v>236</v>
      </c>
      <c r="H172" t="str">
        <f t="shared" si="6"/>
        <v>46. Folkeoplysning</v>
      </c>
      <c r="I172" t="str">
        <f t="shared" si="7"/>
        <v>Tekniske korrektioner</v>
      </c>
      <c r="J172" s="286">
        <f>D172/D170</f>
        <v>3.8201400372690271E-2</v>
      </c>
      <c r="K172" s="286">
        <f>E172/E170</f>
        <v>3.8207764432942541E-2</v>
      </c>
      <c r="L172" s="286">
        <f>F172/F170</f>
        <v>3.8207764432942541E-2</v>
      </c>
      <c r="M172" s="286">
        <f>G172/G170</f>
        <v>3.8207764432942541E-2</v>
      </c>
    </row>
    <row r="173" spans="1:13" ht="13.15" thickBot="1" x14ac:dyDescent="0.4">
      <c r="A173" t="s">
        <v>114</v>
      </c>
      <c r="B173" s="28" t="s">
        <v>107</v>
      </c>
      <c r="C173" t="s">
        <v>191</v>
      </c>
      <c r="D173" s="239">
        <f>Afstemning!D178</f>
        <v>0</v>
      </c>
      <c r="E173" s="239">
        <f>Afstemning!E178</f>
        <v>0</v>
      </c>
      <c r="F173" s="239">
        <f>Afstemning!F178</f>
        <v>0</v>
      </c>
      <c r="G173" s="239">
        <f>Afstemning!G178</f>
        <v>0</v>
      </c>
      <c r="H173" t="str">
        <f t="shared" si="6"/>
        <v>46. Folkeoplysning</v>
      </c>
      <c r="I173" t="str">
        <f t="shared" si="7"/>
        <v>Afledt drift</v>
      </c>
      <c r="J173" s="286">
        <f>D173/D170</f>
        <v>0</v>
      </c>
      <c r="K173" s="286">
        <f>E173/E170</f>
        <v>0</v>
      </c>
      <c r="L173" s="286">
        <f>F173/F170</f>
        <v>0</v>
      </c>
      <c r="M173" s="286">
        <f>G173/G170</f>
        <v>0</v>
      </c>
    </row>
    <row r="174" spans="1:13" ht="13.15" thickBot="1" x14ac:dyDescent="0.4">
      <c r="A174" t="s">
        <v>114</v>
      </c>
      <c r="B174" t="s">
        <v>108</v>
      </c>
      <c r="C174" t="s">
        <v>191</v>
      </c>
      <c r="D174" s="239">
        <f>Afstemning!D179</f>
        <v>0</v>
      </c>
      <c r="E174" s="239">
        <f>Afstemning!E179</f>
        <v>0</v>
      </c>
      <c r="F174" s="239">
        <f>Afstemning!F179</f>
        <v>0</v>
      </c>
      <c r="G174" s="239">
        <f>Afstemning!G179</f>
        <v>0</v>
      </c>
      <c r="H174" t="str">
        <f t="shared" si="6"/>
        <v>46. Folkeoplysning</v>
      </c>
      <c r="I174" t="str">
        <f t="shared" si="7"/>
        <v>Budgetønsker</v>
      </c>
      <c r="J174" s="286">
        <f>D174/D170</f>
        <v>0</v>
      </c>
      <c r="K174" s="286">
        <f>E174/E170</f>
        <v>0</v>
      </c>
      <c r="L174" s="286">
        <f>F174/F170</f>
        <v>0</v>
      </c>
      <c r="M174" s="286">
        <f>G174/G170</f>
        <v>0</v>
      </c>
    </row>
    <row r="175" spans="1:13" ht="13.15" thickBot="1" x14ac:dyDescent="0.4">
      <c r="A175" t="s">
        <v>114</v>
      </c>
      <c r="B175" t="s">
        <v>39</v>
      </c>
      <c r="C175" t="s">
        <v>191</v>
      </c>
      <c r="D175" s="239">
        <f>Afstemning!D180</f>
        <v>-78</v>
      </c>
      <c r="E175" s="239">
        <f>Afstemning!E180</f>
        <v>-78</v>
      </c>
      <c r="F175" s="239">
        <f>Afstemning!F180</f>
        <v>-78</v>
      </c>
      <c r="G175" s="239">
        <f>Afstemning!G180</f>
        <v>-78</v>
      </c>
      <c r="H175" t="str">
        <f t="shared" si="6"/>
        <v>46. Folkeoplysning</v>
      </c>
      <c r="I175" t="str">
        <f t="shared" si="7"/>
        <v>Finansieringsforslag</v>
      </c>
      <c r="J175" s="286">
        <f>D175/D170</f>
        <v>-1.262588656385526E-2</v>
      </c>
      <c r="K175" s="286">
        <f>E175/E170</f>
        <v>-1.2627989939701347E-2</v>
      </c>
      <c r="L175" s="286">
        <f>F175/F170</f>
        <v>-1.2627989939701347E-2</v>
      </c>
      <c r="M175" s="286">
        <f>G175/G170</f>
        <v>-1.2627989939701347E-2</v>
      </c>
    </row>
    <row r="176" spans="1:13" x14ac:dyDescent="0.35">
      <c r="A176" t="s">
        <v>114</v>
      </c>
      <c r="B176" s="28" t="s">
        <v>183</v>
      </c>
      <c r="C176" t="s">
        <v>191</v>
      </c>
      <c r="D176" s="105">
        <f>SUM(D171:D175)</f>
        <v>6335.7839999999997</v>
      </c>
      <c r="E176" s="105">
        <f>SUM(E171:E175)</f>
        <v>6334.7550000000001</v>
      </c>
      <c r="F176" s="105">
        <f>SUM(F171:F175)</f>
        <v>6334.7550000000001</v>
      </c>
      <c r="G176" s="105">
        <f>SUM(G171:G175)</f>
        <v>6334.7550000000001</v>
      </c>
      <c r="H176" t="str">
        <f t="shared" si="6"/>
        <v>46. Folkeoplysning</v>
      </c>
      <c r="I176" t="str">
        <f t="shared" si="7"/>
        <v>Vedtaget budget 2020 - 2023</v>
      </c>
      <c r="J176" s="105"/>
      <c r="K176" s="105"/>
      <c r="L176" s="105"/>
      <c r="M176" s="105"/>
    </row>
    <row r="177" spans="1:13" x14ac:dyDescent="0.35">
      <c r="D177" s="105"/>
      <c r="E177" s="105"/>
      <c r="F177" s="105"/>
      <c r="G177" s="105"/>
      <c r="H177">
        <f t="shared" si="6"/>
        <v>0</v>
      </c>
      <c r="I177">
        <f t="shared" si="7"/>
        <v>0</v>
      </c>
      <c r="J177" s="105"/>
      <c r="K177" s="105"/>
      <c r="L177" s="105"/>
      <c r="M177" s="105"/>
    </row>
    <row r="178" spans="1:13" ht="13.15" thickBot="1" x14ac:dyDescent="0.4">
      <c r="D178" s="105"/>
      <c r="E178" s="105"/>
      <c r="F178" s="105"/>
      <c r="G178" s="105"/>
      <c r="H178">
        <f t="shared" si="6"/>
        <v>0</v>
      </c>
      <c r="I178">
        <f t="shared" si="7"/>
        <v>0</v>
      </c>
      <c r="J178" s="105"/>
      <c r="K178" s="105"/>
      <c r="L178" s="105"/>
      <c r="M178" s="105"/>
    </row>
    <row r="179" spans="1:13" ht="13.15" thickBot="1" x14ac:dyDescent="0.4">
      <c r="A179" s="28" t="s">
        <v>441</v>
      </c>
      <c r="B179" t="s">
        <v>189</v>
      </c>
      <c r="C179" s="28" t="s">
        <v>461</v>
      </c>
      <c r="D179" s="239">
        <v>117905.947</v>
      </c>
      <c r="E179" s="239">
        <v>117637.247</v>
      </c>
      <c r="F179" s="239">
        <v>117637.247</v>
      </c>
      <c r="G179" s="239">
        <v>117637.247</v>
      </c>
      <c r="H179" s="28" t="s">
        <v>441</v>
      </c>
      <c r="I179" t="str">
        <f t="shared" si="7"/>
        <v>Serviceramme ompr.sag</v>
      </c>
      <c r="J179" s="105"/>
      <c r="K179" s="105"/>
      <c r="L179" s="105"/>
      <c r="M179" s="105"/>
    </row>
    <row r="180" spans="1:13" ht="13.15" thickBot="1" x14ac:dyDescent="0.4">
      <c r="A180" s="28" t="s">
        <v>441</v>
      </c>
      <c r="B180" s="28" t="s">
        <v>185</v>
      </c>
      <c r="C180" s="28" t="s">
        <v>461</v>
      </c>
      <c r="D180" s="239">
        <f>Afstemning!D185</f>
        <v>117905.947</v>
      </c>
      <c r="E180" s="239">
        <f>Afstemning!E185</f>
        <v>117637.247</v>
      </c>
      <c r="F180" s="239">
        <f>Afstemning!F185</f>
        <v>117637.247</v>
      </c>
      <c r="G180" s="239">
        <f>Afstemning!G185</f>
        <v>117637.247</v>
      </c>
      <c r="H180" s="28" t="s">
        <v>441</v>
      </c>
      <c r="I180" t="str">
        <f t="shared" si="7"/>
        <v xml:space="preserve">Driftsramme </v>
      </c>
      <c r="J180" s="105"/>
      <c r="K180" s="105"/>
      <c r="L180" s="105"/>
      <c r="M180" s="105"/>
    </row>
    <row r="181" spans="1:13" ht="13.15" thickBot="1" x14ac:dyDescent="0.4">
      <c r="A181" s="28" t="s">
        <v>441</v>
      </c>
      <c r="B181" t="s">
        <v>29</v>
      </c>
      <c r="C181" s="28" t="s">
        <v>461</v>
      </c>
      <c r="D181" s="239">
        <f>Afstemning!D186</f>
        <v>-509</v>
      </c>
      <c r="E181" s="239">
        <f>Afstemning!E186</f>
        <v>-672</v>
      </c>
      <c r="F181" s="239">
        <f>Afstemning!F186</f>
        <v>-617</v>
      </c>
      <c r="G181" s="239">
        <f>Afstemning!G186</f>
        <v>-616</v>
      </c>
      <c r="H181" s="28" t="s">
        <v>441</v>
      </c>
      <c r="I181" t="str">
        <f t="shared" si="7"/>
        <v>Tekniske korrektioner</v>
      </c>
      <c r="J181" s="286">
        <f>D181/D179</f>
        <v>-4.3170002273082968E-3</v>
      </c>
      <c r="K181" s="286">
        <f>E181/E179</f>
        <v>-5.7124764233899492E-3</v>
      </c>
      <c r="L181" s="286">
        <f>F181/F179</f>
        <v>-5.2449374304041644E-3</v>
      </c>
      <c r="M181" s="286">
        <f>G181/G179</f>
        <v>-5.2364367214407861E-3</v>
      </c>
    </row>
    <row r="182" spans="1:13" ht="13.15" thickBot="1" x14ac:dyDescent="0.4">
      <c r="A182" s="28" t="s">
        <v>441</v>
      </c>
      <c r="B182" s="28" t="s">
        <v>107</v>
      </c>
      <c r="C182" s="28" t="s">
        <v>461</v>
      </c>
      <c r="D182" s="239">
        <f>Afstemning!D187</f>
        <v>0</v>
      </c>
      <c r="E182" s="239">
        <f>Afstemning!E187</f>
        <v>0</v>
      </c>
      <c r="F182" s="239">
        <f>Afstemning!F187</f>
        <v>0</v>
      </c>
      <c r="G182" s="239">
        <f>Afstemning!G187</f>
        <v>0</v>
      </c>
      <c r="H182" s="28" t="s">
        <v>441</v>
      </c>
      <c r="I182" t="str">
        <f t="shared" si="7"/>
        <v>Afledt drift</v>
      </c>
      <c r="J182" s="286">
        <f>D182/D179</f>
        <v>0</v>
      </c>
      <c r="K182" s="286">
        <f>E182/E179</f>
        <v>0</v>
      </c>
      <c r="L182" s="286">
        <f>F182/F179</f>
        <v>0</v>
      </c>
      <c r="M182" s="286">
        <f>G182/G179</f>
        <v>0</v>
      </c>
    </row>
    <row r="183" spans="1:13" ht="13.15" thickBot="1" x14ac:dyDescent="0.4">
      <c r="A183" s="28" t="s">
        <v>441</v>
      </c>
      <c r="B183" t="s">
        <v>108</v>
      </c>
      <c r="C183" s="28" t="s">
        <v>461</v>
      </c>
      <c r="D183" s="239">
        <f>Afstemning!D188</f>
        <v>0</v>
      </c>
      <c r="E183" s="239">
        <f>Afstemning!E188</f>
        <v>0</v>
      </c>
      <c r="F183" s="239">
        <f>Afstemning!F188</f>
        <v>0</v>
      </c>
      <c r="G183" s="239">
        <f>Afstemning!G188</f>
        <v>0</v>
      </c>
      <c r="H183" s="28" t="s">
        <v>441</v>
      </c>
      <c r="I183" t="str">
        <f t="shared" si="7"/>
        <v>Budgetønsker</v>
      </c>
      <c r="J183" s="286">
        <f>D183/D179</f>
        <v>0</v>
      </c>
      <c r="K183" s="286">
        <f>E183/E179</f>
        <v>0</v>
      </c>
      <c r="L183" s="286">
        <f>F183/F179</f>
        <v>0</v>
      </c>
      <c r="M183" s="286">
        <f>G183/G179</f>
        <v>0</v>
      </c>
    </row>
    <row r="184" spans="1:13" ht="13.15" thickBot="1" x14ac:dyDescent="0.4">
      <c r="A184" s="28" t="s">
        <v>441</v>
      </c>
      <c r="B184" t="s">
        <v>39</v>
      </c>
      <c r="C184" s="28" t="s">
        <v>461</v>
      </c>
      <c r="D184" s="239">
        <f>Afstemning!D189</f>
        <v>-19869</v>
      </c>
      <c r="E184" s="239">
        <f>Afstemning!E189</f>
        <v>-2300</v>
      </c>
      <c r="F184" s="239">
        <f>Afstemning!F189</f>
        <v>-2300</v>
      </c>
      <c r="G184" s="239">
        <f>Afstemning!G189</f>
        <v>-2300</v>
      </c>
      <c r="H184" s="28" t="s">
        <v>441</v>
      </c>
      <c r="I184" t="str">
        <f t="shared" si="7"/>
        <v>Finansieringsforslag</v>
      </c>
      <c r="J184" s="286">
        <f>D184/D179</f>
        <v>-0.16851567292021327</v>
      </c>
      <c r="K184" s="286">
        <f>E184/E179</f>
        <v>-1.9551630615769169E-2</v>
      </c>
      <c r="L184" s="286">
        <f>F184/F179</f>
        <v>-1.9551630615769169E-2</v>
      </c>
      <c r="M184" s="286">
        <f>G184/G179</f>
        <v>-1.9551630615769169E-2</v>
      </c>
    </row>
    <row r="185" spans="1:13" x14ac:dyDescent="0.35">
      <c r="A185" s="28" t="s">
        <v>441</v>
      </c>
      <c r="B185" s="28" t="s">
        <v>183</v>
      </c>
      <c r="C185" s="28" t="s">
        <v>461</v>
      </c>
      <c r="D185" s="105">
        <f>SUM(D180:D184)</f>
        <v>97527.947</v>
      </c>
      <c r="E185" s="105">
        <f>SUM(E180:E184)</f>
        <v>114665.247</v>
      </c>
      <c r="F185" s="105">
        <f>SUM(F180:F184)</f>
        <v>114720.247</v>
      </c>
      <c r="G185" s="105">
        <f>SUM(G180:G184)</f>
        <v>114721.247</v>
      </c>
      <c r="H185" s="28" t="s">
        <v>441</v>
      </c>
      <c r="I185" t="str">
        <f t="shared" si="7"/>
        <v>Vedtaget budget 2020 - 2023</v>
      </c>
      <c r="J185" s="105"/>
      <c r="K185" s="105"/>
      <c r="L185" s="105"/>
      <c r="M185" s="105"/>
    </row>
    <row r="186" spans="1:13" x14ac:dyDescent="0.35">
      <c r="D186" s="105"/>
      <c r="E186" s="105"/>
      <c r="F186" s="105"/>
      <c r="G186" s="105"/>
      <c r="H186">
        <f t="shared" si="6"/>
        <v>0</v>
      </c>
      <c r="I186">
        <f t="shared" si="7"/>
        <v>0</v>
      </c>
      <c r="J186" s="105"/>
      <c r="K186" s="105"/>
      <c r="L186" s="105"/>
      <c r="M186" s="105"/>
    </row>
    <row r="187" spans="1:13" x14ac:dyDescent="0.35">
      <c r="D187" s="105"/>
      <c r="E187" s="105"/>
      <c r="F187" s="105"/>
      <c r="G187" s="105"/>
      <c r="H187">
        <f t="shared" si="6"/>
        <v>0</v>
      </c>
      <c r="I187">
        <f t="shared" si="7"/>
        <v>0</v>
      </c>
      <c r="J187" s="105"/>
      <c r="K187" s="105"/>
      <c r="L187" s="105"/>
      <c r="M187" s="105"/>
    </row>
    <row r="188" spans="1:13" ht="13.15" thickBot="1" x14ac:dyDescent="0.4">
      <c r="D188" s="105"/>
      <c r="E188" s="105"/>
      <c r="F188" s="105"/>
      <c r="G188" s="105"/>
      <c r="H188">
        <f t="shared" si="6"/>
        <v>0</v>
      </c>
      <c r="I188">
        <f t="shared" si="7"/>
        <v>0</v>
      </c>
      <c r="J188" s="105"/>
      <c r="K188" s="105"/>
      <c r="L188" s="105"/>
      <c r="M188" s="105"/>
    </row>
    <row r="189" spans="1:13" ht="13.15" thickBot="1" x14ac:dyDescent="0.4">
      <c r="A189" t="s">
        <v>116</v>
      </c>
      <c r="B189" t="s">
        <v>189</v>
      </c>
      <c r="C189" s="28" t="s">
        <v>194</v>
      </c>
      <c r="D189" s="239">
        <f>D179+D170+D161+D152+D143+D134+D125+D116+D107+D98+D89+D80+D71+D62+D53+D44+D35+D26+D17+D8</f>
        <v>3240845.2469999995</v>
      </c>
      <c r="E189" s="239">
        <f t="shared" ref="E189:G189" si="8">E179+E170+E161+E152+E143+E134+E125+E116+E107+E98+E89+E80+E71+E62+E53+E44+E35+E26+E17+E8</f>
        <v>3223662.1110000005</v>
      </c>
      <c r="F189" s="239">
        <f t="shared" si="8"/>
        <v>3232715.7110000001</v>
      </c>
      <c r="G189" s="239">
        <f t="shared" si="8"/>
        <v>3232715.7110000001</v>
      </c>
      <c r="H189" t="str">
        <f t="shared" ref="H189:H203" si="9">A189</f>
        <v>Samlet for Hillerød Kommune</v>
      </c>
      <c r="I189" t="str">
        <f t="shared" si="7"/>
        <v>Serviceramme ompr.sag</v>
      </c>
      <c r="J189" s="105"/>
      <c r="K189" s="105"/>
      <c r="L189" s="105"/>
    </row>
    <row r="190" spans="1:13" ht="13.15" thickBot="1" x14ac:dyDescent="0.4">
      <c r="A190" t="s">
        <v>116</v>
      </c>
      <c r="B190" s="28" t="s">
        <v>185</v>
      </c>
      <c r="C190" s="28" t="s">
        <v>194</v>
      </c>
      <c r="D190" s="239">
        <f>D180+D171+D162+D153+D144+D135+D126+D117+D108+D99+D90+D81+D72+D63+D54+D45+D36+D27+D18+D9</f>
        <v>4289914.6940000001</v>
      </c>
      <c r="E190" s="239">
        <f t="shared" ref="E190:G190" si="10">E180+E171+E162+E153+E144+E135+E126+E117+E108+E99+E90+E81+E72+E63+E54+E45+E36+E27+E18+E9</f>
        <v>4286484.387000001</v>
      </c>
      <c r="F190" s="239">
        <f t="shared" si="10"/>
        <v>4291899.7120000003</v>
      </c>
      <c r="G190" s="239">
        <f t="shared" si="10"/>
        <v>4291899.7120000003</v>
      </c>
      <c r="H190" t="str">
        <f t="shared" si="9"/>
        <v>Samlet for Hillerød Kommune</v>
      </c>
      <c r="I190" t="str">
        <f t="shared" ref="I190:I194" si="11">B190</f>
        <v xml:space="preserve">Driftsramme </v>
      </c>
      <c r="J190" s="105"/>
      <c r="K190" s="105"/>
      <c r="L190" s="105"/>
    </row>
    <row r="191" spans="1:13" ht="13.15" thickBot="1" x14ac:dyDescent="0.4">
      <c r="A191" t="s">
        <v>116</v>
      </c>
      <c r="B191" t="s">
        <v>29</v>
      </c>
      <c r="C191" s="28" t="s">
        <v>194</v>
      </c>
      <c r="D191" s="239">
        <f t="shared" ref="D191:G191" si="12">D181+D172+D163+D154+D145+D136+D127+D118+D109+D100+D91+D82+D73+D64+D55+D46+D37+D28+D19+D10</f>
        <v>-270662</v>
      </c>
      <c r="E191" s="239">
        <f t="shared" si="12"/>
        <v>-254505</v>
      </c>
      <c r="F191" s="239">
        <f t="shared" si="12"/>
        <v>-243911</v>
      </c>
      <c r="G191" s="239">
        <f t="shared" si="12"/>
        <v>-232224</v>
      </c>
      <c r="H191" t="str">
        <f t="shared" si="9"/>
        <v>Samlet for Hillerød Kommune</v>
      </c>
      <c r="I191" t="str">
        <f t="shared" si="11"/>
        <v>Tekniske korrektioner</v>
      </c>
      <c r="J191" s="294">
        <f>D191/D189</f>
        <v>-8.3515866809915601E-2</v>
      </c>
      <c r="K191" s="294">
        <f t="shared" ref="K191:M191" si="13">E191/E189</f>
        <v>-7.8949031020205437E-2</v>
      </c>
      <c r="L191" s="294">
        <f t="shared" si="13"/>
        <v>-7.5450804155169332E-2</v>
      </c>
      <c r="M191" s="294">
        <f t="shared" si="13"/>
        <v>-7.1835577502162851E-2</v>
      </c>
    </row>
    <row r="192" spans="1:13" ht="13.15" thickBot="1" x14ac:dyDescent="0.4">
      <c r="A192" t="s">
        <v>116</v>
      </c>
      <c r="B192" s="28" t="s">
        <v>107</v>
      </c>
      <c r="C192" s="28" t="s">
        <v>194</v>
      </c>
      <c r="D192" s="239">
        <f t="shared" ref="D192:G192" si="14">D182+D173+D164+D155+D146+D137+D128+D119+D110+D101+D92+D83+D74+D65+D56+D47+D38+D29+D20+D11</f>
        <v>-1507</v>
      </c>
      <c r="E192" s="239">
        <f t="shared" si="14"/>
        <v>-1005</v>
      </c>
      <c r="F192" s="239">
        <f t="shared" si="14"/>
        <v>486</v>
      </c>
      <c r="G192" s="239">
        <f t="shared" si="14"/>
        <v>-125</v>
      </c>
      <c r="H192" t="str">
        <f t="shared" si="9"/>
        <v>Samlet for Hillerød Kommune</v>
      </c>
      <c r="I192" t="str">
        <f t="shared" si="11"/>
        <v>Afledt drift</v>
      </c>
      <c r="J192" s="294">
        <f>D192/D189</f>
        <v>-4.650021476326297E-4</v>
      </c>
      <c r="K192" s="294">
        <f t="shared" ref="K192:M192" si="15">E192/E189</f>
        <v>-3.1175723924994192E-4</v>
      </c>
      <c r="L192" s="294">
        <f t="shared" si="15"/>
        <v>1.5033799549594851E-4</v>
      </c>
      <c r="M192" s="294">
        <f t="shared" si="15"/>
        <v>-3.8667179911509391E-5</v>
      </c>
    </row>
    <row r="193" spans="1:13" ht="13.15" thickBot="1" x14ac:dyDescent="0.4">
      <c r="A193" t="s">
        <v>116</v>
      </c>
      <c r="B193" t="s">
        <v>108</v>
      </c>
      <c r="C193" s="28" t="s">
        <v>194</v>
      </c>
      <c r="D193" s="239">
        <f t="shared" ref="D193:G193" si="16">D183+D174+D165+D156+D147+D138+D129+D120+D111+D102+D93+D84+D75+D66+D57+D48+D39+D30+D21+D12</f>
        <v>58892</v>
      </c>
      <c r="E193" s="239">
        <f t="shared" si="16"/>
        <v>82886</v>
      </c>
      <c r="F193" s="239">
        <f t="shared" si="16"/>
        <v>80577</v>
      </c>
      <c r="G193" s="239">
        <f t="shared" si="16"/>
        <v>59984</v>
      </c>
      <c r="H193" t="str">
        <f t="shared" si="9"/>
        <v>Samlet for Hillerød Kommune</v>
      </c>
      <c r="I193" t="str">
        <f t="shared" si="11"/>
        <v>Budgetønsker</v>
      </c>
      <c r="J193" s="294">
        <f>D193/D189</f>
        <v>1.817180257357719E-2</v>
      </c>
      <c r="K193" s="294">
        <f t="shared" ref="K193:M193" si="17">E193/E189</f>
        <v>2.5711751773602673E-2</v>
      </c>
      <c r="L193" s="294">
        <f t="shared" si="17"/>
        <v>2.4925482845837538E-2</v>
      </c>
      <c r="M193" s="294">
        <f t="shared" si="17"/>
        <v>1.8555296958495834E-2</v>
      </c>
    </row>
    <row r="194" spans="1:13" ht="13.15" thickBot="1" x14ac:dyDescent="0.4">
      <c r="A194" t="s">
        <v>116</v>
      </c>
      <c r="B194" t="s">
        <v>39</v>
      </c>
      <c r="C194" s="28" t="s">
        <v>194</v>
      </c>
      <c r="D194" s="239">
        <f t="shared" ref="D194:G194" si="18">D184+D175+D166+D157+D148+D139+D130+D121+D112+D103+D94+D85+D76+D67+D58+D49+D40+D31+D22+D13</f>
        <v>-88754</v>
      </c>
      <c r="E194" s="239">
        <f t="shared" si="18"/>
        <v>-60374</v>
      </c>
      <c r="F194" s="239">
        <f t="shared" si="18"/>
        <v>-62674</v>
      </c>
      <c r="G194" s="239">
        <f t="shared" si="18"/>
        <v>-59549</v>
      </c>
      <c r="H194" t="str">
        <f t="shared" si="9"/>
        <v>Samlet for Hillerød Kommune</v>
      </c>
      <c r="I194" t="str">
        <f t="shared" si="11"/>
        <v>Finansieringsforslag</v>
      </c>
      <c r="J194" s="294">
        <f>D194/D189</f>
        <v>-2.738606543529291E-2</v>
      </c>
      <c r="K194" s="294">
        <f t="shared" ref="K194:M194" si="19">E194/E189</f>
        <v>-1.8728389614403974E-2</v>
      </c>
      <c r="L194" s="294">
        <f t="shared" si="19"/>
        <v>-1.9387414670191516E-2</v>
      </c>
      <c r="M194" s="294">
        <f t="shared" si="19"/>
        <v>-1.8420735172403783E-2</v>
      </c>
    </row>
    <row r="195" spans="1:13" ht="13.15" thickBot="1" x14ac:dyDescent="0.4">
      <c r="A195" t="s">
        <v>116</v>
      </c>
      <c r="B195" s="28" t="s">
        <v>183</v>
      </c>
      <c r="C195" s="28" t="s">
        <v>194</v>
      </c>
      <c r="D195" s="239">
        <f>D185+D176+D167+D158+D149+D140+D131+D122+D113+D104+D95+D86+D77+D68+D59+D50+D41+D32+D23+D14</f>
        <v>3987883.6940000001</v>
      </c>
      <c r="E195" s="239">
        <f t="shared" ref="E195:G195" si="20">E185+E176+E167+E158+E149+E140+E131+E122+E113+E104+E95+E86+E77+E68+E59+E50+E41+E32+E23+E14</f>
        <v>4053486.3870000006</v>
      </c>
      <c r="F195" s="239">
        <f t="shared" si="20"/>
        <v>4066377.7119999998</v>
      </c>
      <c r="G195" s="239">
        <f t="shared" si="20"/>
        <v>4059985.7119999998</v>
      </c>
      <c r="H195" t="str">
        <f t="shared" si="9"/>
        <v>Samlet for Hillerød Kommune</v>
      </c>
      <c r="I195" t="str">
        <f>B195</f>
        <v>Vedtaget budget 2020 - 2023</v>
      </c>
      <c r="J195" s="105"/>
      <c r="K195" s="105"/>
      <c r="L195" s="105"/>
    </row>
    <row r="196" spans="1:13" hidden="1" x14ac:dyDescent="0.35">
      <c r="C196" s="28" t="s">
        <v>194</v>
      </c>
      <c r="D196" s="105"/>
      <c r="E196" s="105"/>
      <c r="F196" s="105"/>
      <c r="G196" s="105"/>
      <c r="H196">
        <f t="shared" si="9"/>
        <v>0</v>
      </c>
      <c r="I196" s="105"/>
      <c r="J196" s="105"/>
      <c r="K196" s="105"/>
      <c r="L196" s="105"/>
    </row>
    <row r="197" spans="1:13" hidden="1" x14ac:dyDescent="0.35">
      <c r="C197" s="28" t="s">
        <v>194</v>
      </c>
      <c r="D197" s="105"/>
      <c r="E197" s="105"/>
      <c r="F197" s="105"/>
      <c r="G197" s="105"/>
      <c r="H197">
        <f t="shared" si="9"/>
        <v>0</v>
      </c>
      <c r="I197" s="105"/>
      <c r="J197" s="105"/>
      <c r="K197" s="105"/>
      <c r="L197" s="105"/>
    </row>
    <row r="198" spans="1:13" hidden="1" x14ac:dyDescent="0.35">
      <c r="C198" s="28" t="s">
        <v>194</v>
      </c>
      <c r="D198" s="105"/>
      <c r="E198" s="105"/>
      <c r="F198" s="105"/>
      <c r="G198" s="105"/>
      <c r="H198">
        <f t="shared" si="9"/>
        <v>0</v>
      </c>
      <c r="I198" s="105"/>
      <c r="J198" s="105"/>
      <c r="K198" s="105"/>
      <c r="L198" s="105"/>
    </row>
    <row r="199" spans="1:13" hidden="1" x14ac:dyDescent="0.35">
      <c r="C199" s="28" t="s">
        <v>194</v>
      </c>
      <c r="D199" s="105"/>
      <c r="E199" s="105"/>
      <c r="F199" s="105"/>
      <c r="G199" s="105"/>
      <c r="H199">
        <f t="shared" si="9"/>
        <v>0</v>
      </c>
      <c r="I199" s="105"/>
      <c r="J199" s="105"/>
      <c r="K199" s="105"/>
      <c r="L199" s="105"/>
    </row>
    <row r="200" spans="1:13" hidden="1" x14ac:dyDescent="0.35">
      <c r="C200" s="28" t="s">
        <v>194</v>
      </c>
      <c r="D200" s="105">
        <f>'Budgetforslag 2027-2030'!C9*1000</f>
        <v>3987984</v>
      </c>
      <c r="E200" s="105">
        <f>'Budgetforslag 2027-2030'!D9*1000</f>
        <v>4053425.0000000005</v>
      </c>
      <c r="F200" s="105">
        <f>'Budgetforslag 2027-2030'!E9*1000</f>
        <v>4066587.9999999995</v>
      </c>
      <c r="G200" s="105"/>
      <c r="H200">
        <f t="shared" si="9"/>
        <v>0</v>
      </c>
      <c r="I200" s="105"/>
      <c r="J200" s="105"/>
      <c r="K200" s="105"/>
      <c r="L200" s="105"/>
    </row>
    <row r="201" spans="1:13" hidden="1" x14ac:dyDescent="0.35">
      <c r="C201" s="28" t="s">
        <v>194</v>
      </c>
      <c r="D201" s="105">
        <f>D195-D200</f>
        <v>-100.30599999986589</v>
      </c>
      <c r="E201" s="105">
        <f>E195-E200</f>
        <v>61.387000000104308</v>
      </c>
      <c r="F201" s="105">
        <f>F195-F200</f>
        <v>-210.28799999970943</v>
      </c>
      <c r="G201" s="105"/>
      <c r="H201">
        <f t="shared" si="9"/>
        <v>0</v>
      </c>
      <c r="I201" s="105"/>
      <c r="J201" s="105"/>
      <c r="K201" s="105"/>
      <c r="L201" s="105"/>
    </row>
    <row r="202" spans="1:13" hidden="1" x14ac:dyDescent="0.35">
      <c r="C202" s="28" t="s">
        <v>194</v>
      </c>
      <c r="D202" s="105"/>
      <c r="H202">
        <f t="shared" si="9"/>
        <v>0</v>
      </c>
    </row>
    <row r="203" spans="1:13" hidden="1" x14ac:dyDescent="0.35">
      <c r="C203" s="28" t="s">
        <v>194</v>
      </c>
      <c r="H203">
        <f t="shared" si="9"/>
        <v>0</v>
      </c>
    </row>
    <row r="205" spans="1:13" x14ac:dyDescent="0.35">
      <c r="B205" s="148" t="s">
        <v>181</v>
      </c>
    </row>
    <row r="207" spans="1:13" ht="20.25" x14ac:dyDescent="0.55000000000000004">
      <c r="A207" s="289" t="s">
        <v>176</v>
      </c>
      <c r="H207" s="289" t="s">
        <v>186</v>
      </c>
    </row>
    <row r="208" spans="1:13" s="295" customFormat="1" x14ac:dyDescent="0.35">
      <c r="A208" s="296" t="s">
        <v>320</v>
      </c>
      <c r="B208" t="s">
        <v>245</v>
      </c>
      <c r="C208" t="s">
        <v>270</v>
      </c>
      <c r="D208" t="s">
        <v>323</v>
      </c>
      <c r="E208" t="s">
        <v>459</v>
      </c>
      <c r="H208" s="296" t="s">
        <v>320</v>
      </c>
      <c r="I208" t="s">
        <v>246</v>
      </c>
      <c r="J208" t="s">
        <v>272</v>
      </c>
      <c r="K208" t="s">
        <v>324</v>
      </c>
      <c r="L208" t="s">
        <v>460</v>
      </c>
    </row>
    <row r="209" spans="1:12" x14ac:dyDescent="0.35">
      <c r="A209" s="246" t="s">
        <v>106</v>
      </c>
      <c r="B209" s="105">
        <v>-12174</v>
      </c>
      <c r="C209" s="105">
        <v>-7804</v>
      </c>
      <c r="D209" s="105">
        <v>-7704</v>
      </c>
      <c r="E209">
        <v>-4579</v>
      </c>
      <c r="H209" s="246" t="s">
        <v>106</v>
      </c>
      <c r="I209" s="288">
        <v>-2.5610441621499003E-2</v>
      </c>
      <c r="J209" s="288">
        <v>-1.6792888839050571E-2</v>
      </c>
      <c r="K209" s="288">
        <v>-1.6294398873991048E-2</v>
      </c>
      <c r="L209" s="288">
        <v>-9.6848458520255726E-3</v>
      </c>
    </row>
    <row r="210" spans="1:12" x14ac:dyDescent="0.35">
      <c r="A210" s="287" t="s">
        <v>108</v>
      </c>
      <c r="B210" s="105">
        <v>8451</v>
      </c>
      <c r="C210" s="105">
        <v>8991</v>
      </c>
      <c r="D210" s="105">
        <v>8991</v>
      </c>
      <c r="E210">
        <v>8991</v>
      </c>
      <c r="H210" s="287" t="s">
        <v>108</v>
      </c>
      <c r="I210" s="288">
        <v>1.7778367187718754E-2</v>
      </c>
      <c r="J210" s="288">
        <v>1.9347112192709341E-2</v>
      </c>
      <c r="K210" s="288">
        <v>1.901647719055731E-2</v>
      </c>
      <c r="L210" s="288">
        <v>1.901647719055731E-2</v>
      </c>
    </row>
    <row r="211" spans="1:12" x14ac:dyDescent="0.35">
      <c r="A211" s="287" t="s">
        <v>39</v>
      </c>
      <c r="B211" s="105">
        <v>-20625</v>
      </c>
      <c r="C211" s="105">
        <v>-16795</v>
      </c>
      <c r="D211" s="105">
        <v>-16695</v>
      </c>
      <c r="E211">
        <v>-13570</v>
      </c>
      <c r="H211" s="287" t="s">
        <v>39</v>
      </c>
      <c r="I211" s="288">
        <v>-4.3388808809217756E-2</v>
      </c>
      <c r="J211" s="288">
        <v>-3.6140001031759912E-2</v>
      </c>
      <c r="K211" s="288">
        <v>-3.5310876064548358E-2</v>
      </c>
      <c r="L211" s="288">
        <v>-2.8701323042582882E-2</v>
      </c>
    </row>
    <row r="212" spans="1:12" x14ac:dyDescent="0.35">
      <c r="A212" s="246" t="s">
        <v>109</v>
      </c>
      <c r="B212" s="105">
        <v>-14977</v>
      </c>
      <c r="C212" s="105">
        <v>-14305</v>
      </c>
      <c r="D212" s="105">
        <v>-14305</v>
      </c>
      <c r="E212">
        <v>-14305</v>
      </c>
      <c r="H212" s="246" t="s">
        <v>109</v>
      </c>
      <c r="I212" s="288">
        <v>-8.8731404847654294E-2</v>
      </c>
      <c r="J212" s="288">
        <v>-8.5022329193513616E-2</v>
      </c>
      <c r="K212" s="288">
        <v>-8.6017931115722313E-2</v>
      </c>
      <c r="L212" s="288">
        <v>-8.6017931115722313E-2</v>
      </c>
    </row>
    <row r="213" spans="1:12" x14ac:dyDescent="0.35">
      <c r="A213" s="287" t="s">
        <v>108</v>
      </c>
      <c r="B213" s="105">
        <v>280</v>
      </c>
      <c r="C213" s="105">
        <v>300</v>
      </c>
      <c r="D213" s="105">
        <v>300</v>
      </c>
      <c r="E213">
        <v>300</v>
      </c>
      <c r="H213" s="287" t="s">
        <v>108</v>
      </c>
      <c r="I213" s="288">
        <v>1.6588631473154305E-3</v>
      </c>
      <c r="J213" s="288">
        <v>1.7830617796612432E-3</v>
      </c>
      <c r="K213" s="288">
        <v>1.8039412327659347E-3</v>
      </c>
      <c r="L213" s="288">
        <v>1.8039412327659347E-3</v>
      </c>
    </row>
    <row r="214" spans="1:12" x14ac:dyDescent="0.35">
      <c r="A214" s="287" t="s">
        <v>39</v>
      </c>
      <c r="B214" s="105">
        <v>-15257</v>
      </c>
      <c r="C214" s="105">
        <v>-14605</v>
      </c>
      <c r="D214" s="105">
        <v>-14605</v>
      </c>
      <c r="E214">
        <v>-14605</v>
      </c>
      <c r="H214" s="287" t="s">
        <v>39</v>
      </c>
      <c r="I214" s="288">
        <v>-9.0390267994969728E-2</v>
      </c>
      <c r="J214" s="288">
        <v>-8.6805390973174856E-2</v>
      </c>
      <c r="K214" s="288">
        <v>-8.7821872348488247E-2</v>
      </c>
      <c r="L214" s="288">
        <v>-8.7821872348488247E-2</v>
      </c>
    </row>
    <row r="215" spans="1:12" x14ac:dyDescent="0.35">
      <c r="A215" s="246" t="s">
        <v>140</v>
      </c>
      <c r="B215" s="105">
        <v>-260</v>
      </c>
      <c r="C215" s="105">
        <v>-260</v>
      </c>
      <c r="D215" s="105">
        <v>-260</v>
      </c>
      <c r="E215">
        <v>-260</v>
      </c>
      <c r="H215" s="246" t="s">
        <v>140</v>
      </c>
      <c r="I215" s="288">
        <v>-4.8727666283254903E-3</v>
      </c>
      <c r="J215" s="288">
        <v>-4.8701193490178901E-3</v>
      </c>
      <c r="K215" s="288">
        <v>-4.8652437874485768E-3</v>
      </c>
      <c r="L215" s="288">
        <v>-4.8652437874485768E-3</v>
      </c>
    </row>
    <row r="216" spans="1:12" x14ac:dyDescent="0.35">
      <c r="A216" s="287" t="s">
        <v>108</v>
      </c>
      <c r="B216" s="105">
        <v>100</v>
      </c>
      <c r="C216" s="105">
        <v>100</v>
      </c>
      <c r="D216" s="105">
        <v>100</v>
      </c>
      <c r="E216">
        <v>100</v>
      </c>
      <c r="H216" s="287" t="s">
        <v>108</v>
      </c>
      <c r="I216" s="288">
        <v>1.8741410108944192E-3</v>
      </c>
      <c r="J216" s="288">
        <v>1.8731228265453422E-3</v>
      </c>
      <c r="K216" s="288">
        <v>1.8712476105571449E-3</v>
      </c>
      <c r="L216" s="288">
        <v>1.8712476105571449E-3</v>
      </c>
    </row>
    <row r="217" spans="1:12" x14ac:dyDescent="0.35">
      <c r="A217" s="287" t="s">
        <v>39</v>
      </c>
      <c r="B217" s="105">
        <v>-360</v>
      </c>
      <c r="C217" s="105">
        <v>-360</v>
      </c>
      <c r="D217" s="105">
        <v>-360</v>
      </c>
      <c r="E217">
        <v>-360</v>
      </c>
      <c r="H217" s="287" t="s">
        <v>39</v>
      </c>
      <c r="I217" s="288">
        <v>-6.7469076392199095E-3</v>
      </c>
      <c r="J217" s="288">
        <v>-6.7432421755632323E-3</v>
      </c>
      <c r="K217" s="288">
        <v>-6.736491398005722E-3</v>
      </c>
      <c r="L217" s="288">
        <v>-6.736491398005722E-3</v>
      </c>
    </row>
    <row r="218" spans="1:12" x14ac:dyDescent="0.35">
      <c r="A218" s="246" t="s">
        <v>161</v>
      </c>
      <c r="B218" s="105">
        <v>2700</v>
      </c>
      <c r="C218" s="105">
        <v>2700</v>
      </c>
      <c r="D218" s="105">
        <v>2700</v>
      </c>
      <c r="E218">
        <v>2700</v>
      </c>
      <c r="H218" s="246" t="s">
        <v>161</v>
      </c>
      <c r="I218" s="288">
        <v>0.19363186394478593</v>
      </c>
      <c r="J218" s="288">
        <v>0.19576578900029734</v>
      </c>
      <c r="K218" s="288">
        <v>0.19576581738863047</v>
      </c>
      <c r="L218" s="288">
        <v>0.19576581738863047</v>
      </c>
    </row>
    <row r="219" spans="1:12" x14ac:dyDescent="0.35">
      <c r="A219" s="287" t="s">
        <v>108</v>
      </c>
      <c r="B219" s="105">
        <v>2900</v>
      </c>
      <c r="C219" s="105">
        <v>2900</v>
      </c>
      <c r="D219" s="105">
        <v>2900</v>
      </c>
      <c r="E219">
        <v>2900</v>
      </c>
      <c r="H219" s="287" t="s">
        <v>108</v>
      </c>
      <c r="I219" s="288">
        <v>0.20797496497773305</v>
      </c>
      <c r="J219" s="288">
        <v>0.21026695855587493</v>
      </c>
      <c r="K219" s="288">
        <v>0.21026698904704755</v>
      </c>
      <c r="L219" s="288">
        <v>0.21026698904704755</v>
      </c>
    </row>
    <row r="220" spans="1:12" x14ac:dyDescent="0.35">
      <c r="A220" s="287" t="s">
        <v>39</v>
      </c>
      <c r="B220" s="105">
        <v>-200</v>
      </c>
      <c r="C220" s="105">
        <v>-200</v>
      </c>
      <c r="D220" s="105">
        <v>-200</v>
      </c>
      <c r="E220">
        <v>-200</v>
      </c>
      <c r="H220" s="287" t="s">
        <v>39</v>
      </c>
      <c r="I220" s="288">
        <v>-1.4343101032947106E-2</v>
      </c>
      <c r="J220" s="288">
        <v>-1.4501169555577582E-2</v>
      </c>
      <c r="K220" s="288">
        <v>-1.4501171658417071E-2</v>
      </c>
      <c r="L220" s="288">
        <v>-1.4501171658417071E-2</v>
      </c>
    </row>
    <row r="221" spans="1:12" x14ac:dyDescent="0.35">
      <c r="A221" s="246" t="s">
        <v>136</v>
      </c>
      <c r="B221" s="105">
        <v>-27</v>
      </c>
      <c r="C221" s="105">
        <v>-27</v>
      </c>
      <c r="D221" s="105">
        <v>-27</v>
      </c>
      <c r="E221">
        <v>-27</v>
      </c>
      <c r="H221" s="246" t="s">
        <v>136</v>
      </c>
      <c r="I221" s="288">
        <v>-8.0436238491659665E-3</v>
      </c>
      <c r="J221" s="288">
        <v>-8.0387886438712426E-3</v>
      </c>
      <c r="K221" s="288">
        <v>-8.0387886438712426E-3</v>
      </c>
      <c r="L221" s="288">
        <v>-8.0387886438712426E-3</v>
      </c>
    </row>
    <row r="222" spans="1:12" x14ac:dyDescent="0.35">
      <c r="A222" s="287" t="s">
        <v>108</v>
      </c>
      <c r="B222" s="105">
        <v>0</v>
      </c>
      <c r="C222" s="105">
        <v>0</v>
      </c>
      <c r="D222" s="105">
        <v>0</v>
      </c>
      <c r="E222">
        <v>0</v>
      </c>
      <c r="H222" s="287" t="s">
        <v>108</v>
      </c>
      <c r="I222" s="288">
        <v>0</v>
      </c>
      <c r="J222" s="288">
        <v>0</v>
      </c>
      <c r="K222" s="288">
        <v>0</v>
      </c>
      <c r="L222" s="288">
        <v>0</v>
      </c>
    </row>
    <row r="223" spans="1:12" x14ac:dyDescent="0.35">
      <c r="A223" s="287" t="s">
        <v>39</v>
      </c>
      <c r="B223" s="105">
        <v>-27</v>
      </c>
      <c r="C223" s="105">
        <v>-27</v>
      </c>
      <c r="D223" s="105">
        <v>-27</v>
      </c>
      <c r="E223">
        <v>-27</v>
      </c>
      <c r="H223" s="287" t="s">
        <v>39</v>
      </c>
      <c r="I223" s="288">
        <v>-8.0436238491659665E-3</v>
      </c>
      <c r="J223" s="288">
        <v>-8.0387886438712426E-3</v>
      </c>
      <c r="K223" s="288">
        <v>-8.0387886438712426E-3</v>
      </c>
      <c r="L223" s="288">
        <v>-8.0387886438712426E-3</v>
      </c>
    </row>
    <row r="224" spans="1:12" x14ac:dyDescent="0.35">
      <c r="A224" s="246" t="s">
        <v>141</v>
      </c>
      <c r="B224" s="105">
        <v>0</v>
      </c>
      <c r="C224" s="105">
        <v>0</v>
      </c>
      <c r="D224" s="105">
        <v>0</v>
      </c>
      <c r="E224">
        <v>0</v>
      </c>
      <c r="H224" s="246" t="s">
        <v>141</v>
      </c>
      <c r="I224" s="288">
        <v>0</v>
      </c>
      <c r="J224" s="288">
        <v>0</v>
      </c>
      <c r="K224" s="288">
        <v>0</v>
      </c>
      <c r="L224" s="288">
        <v>0</v>
      </c>
    </row>
    <row r="225" spans="1:12" x14ac:dyDescent="0.35">
      <c r="A225" s="287" t="s">
        <v>108</v>
      </c>
      <c r="B225" s="105">
        <v>0</v>
      </c>
      <c r="C225" s="105">
        <v>0</v>
      </c>
      <c r="D225" s="105">
        <v>0</v>
      </c>
      <c r="E225">
        <v>0</v>
      </c>
      <c r="H225" s="287" t="s">
        <v>108</v>
      </c>
      <c r="I225" s="288">
        <v>0</v>
      </c>
      <c r="J225" s="288">
        <v>0</v>
      </c>
      <c r="K225" s="288">
        <v>0</v>
      </c>
      <c r="L225" s="288">
        <v>0</v>
      </c>
    </row>
    <row r="226" spans="1:12" x14ac:dyDescent="0.35">
      <c r="A226" s="287" t="s">
        <v>39</v>
      </c>
      <c r="B226" s="105">
        <v>0</v>
      </c>
      <c r="C226" s="105">
        <v>0</v>
      </c>
      <c r="D226" s="105">
        <v>0</v>
      </c>
      <c r="E226">
        <v>0</v>
      </c>
      <c r="H226" s="287" t="s">
        <v>39</v>
      </c>
      <c r="I226" s="288">
        <v>0</v>
      </c>
      <c r="J226" s="288">
        <v>0</v>
      </c>
      <c r="K226" s="288">
        <v>0</v>
      </c>
      <c r="L226" s="288">
        <v>0</v>
      </c>
    </row>
    <row r="227" spans="1:12" x14ac:dyDescent="0.35">
      <c r="A227" s="246" t="s">
        <v>458</v>
      </c>
      <c r="B227" s="105">
        <v>48</v>
      </c>
      <c r="C227" s="105">
        <v>84</v>
      </c>
      <c r="D227" s="105">
        <v>84</v>
      </c>
      <c r="E227">
        <v>84</v>
      </c>
      <c r="H227" s="246" t="s">
        <v>458</v>
      </c>
      <c r="I227" s="288">
        <v>3.9093519027548713E-2</v>
      </c>
      <c r="J227" s="288">
        <v>6.841365829821025E-2</v>
      </c>
      <c r="K227" s="288">
        <v>6.841365829821025E-2</v>
      </c>
      <c r="L227" s="288">
        <v>6.841365829821025E-2</v>
      </c>
    </row>
    <row r="228" spans="1:12" x14ac:dyDescent="0.35">
      <c r="A228" s="287" t="s">
        <v>108</v>
      </c>
      <c r="B228" s="105">
        <v>64</v>
      </c>
      <c r="C228" s="105">
        <v>100</v>
      </c>
      <c r="D228" s="105">
        <v>100</v>
      </c>
      <c r="E228">
        <v>100</v>
      </c>
      <c r="H228" s="287" t="s">
        <v>108</v>
      </c>
      <c r="I228" s="288">
        <v>5.2124692036731618E-2</v>
      </c>
      <c r="J228" s="288">
        <v>8.1444831307393148E-2</v>
      </c>
      <c r="K228" s="288">
        <v>8.1444831307393148E-2</v>
      </c>
      <c r="L228" s="288">
        <v>8.1444831307393148E-2</v>
      </c>
    </row>
    <row r="229" spans="1:12" x14ac:dyDescent="0.35">
      <c r="A229" s="287" t="s">
        <v>39</v>
      </c>
      <c r="B229" s="105">
        <v>-16</v>
      </c>
      <c r="C229" s="105">
        <v>-16</v>
      </c>
      <c r="D229" s="105">
        <v>-16</v>
      </c>
      <c r="E229">
        <v>-16</v>
      </c>
      <c r="H229" s="287" t="s">
        <v>39</v>
      </c>
      <c r="I229" s="288">
        <v>-1.3031173009182904E-2</v>
      </c>
      <c r="J229" s="288">
        <v>-1.3031173009182904E-2</v>
      </c>
      <c r="K229" s="288">
        <v>-1.3031173009182904E-2</v>
      </c>
      <c r="L229" s="288">
        <v>-1.3031173009182904E-2</v>
      </c>
    </row>
    <row r="230" spans="1:12" x14ac:dyDescent="0.35">
      <c r="A230" s="246" t="s">
        <v>442</v>
      </c>
      <c r="B230" s="105">
        <v>-50</v>
      </c>
      <c r="C230" s="105">
        <v>-50</v>
      </c>
      <c r="D230" s="105">
        <v>-50</v>
      </c>
      <c r="E230">
        <v>-50</v>
      </c>
      <c r="H230" s="246" t="s">
        <v>442</v>
      </c>
      <c r="I230" s="288">
        <v>-3.1487177161972559E-2</v>
      </c>
      <c r="J230" s="288">
        <v>-3.1487177161972559E-2</v>
      </c>
      <c r="K230" s="288">
        <v>-3.1487177161972559E-2</v>
      </c>
      <c r="L230" s="288">
        <v>-3.1487177161972559E-2</v>
      </c>
    </row>
    <row r="231" spans="1:12" x14ac:dyDescent="0.35">
      <c r="A231" s="287" t="s">
        <v>108</v>
      </c>
      <c r="B231" s="105">
        <v>0</v>
      </c>
      <c r="C231" s="105">
        <v>0</v>
      </c>
      <c r="D231" s="105">
        <v>0</v>
      </c>
      <c r="E231">
        <v>0</v>
      </c>
      <c r="H231" s="287" t="s">
        <v>108</v>
      </c>
      <c r="I231" s="288">
        <v>0</v>
      </c>
      <c r="J231" s="288">
        <v>0</v>
      </c>
      <c r="K231" s="288">
        <v>0</v>
      </c>
      <c r="L231" s="288">
        <v>0</v>
      </c>
    </row>
    <row r="232" spans="1:12" x14ac:dyDescent="0.35">
      <c r="A232" s="287" t="s">
        <v>39</v>
      </c>
      <c r="B232" s="105">
        <v>-50</v>
      </c>
      <c r="C232" s="105">
        <v>-50</v>
      </c>
      <c r="D232" s="105">
        <v>-50</v>
      </c>
      <c r="E232">
        <v>-50</v>
      </c>
      <c r="H232" s="287" t="s">
        <v>39</v>
      </c>
      <c r="I232" s="288">
        <v>-3.1487177161972559E-2</v>
      </c>
      <c r="J232" s="288">
        <v>-3.1487177161972559E-2</v>
      </c>
      <c r="K232" s="288">
        <v>-3.1487177161972559E-2</v>
      </c>
      <c r="L232" s="288">
        <v>-3.1487177161972559E-2</v>
      </c>
    </row>
    <row r="233" spans="1:12" x14ac:dyDescent="0.35">
      <c r="A233" s="246" t="s">
        <v>443</v>
      </c>
      <c r="B233" s="105">
        <v>5082</v>
      </c>
      <c r="C233" s="105">
        <v>15232</v>
      </c>
      <c r="D233" s="105">
        <v>14294</v>
      </c>
      <c r="E233">
        <v>7643</v>
      </c>
      <c r="H233" s="246" t="s">
        <v>443</v>
      </c>
      <c r="I233" s="288">
        <v>1.3470836985804643E-2</v>
      </c>
      <c r="J233" s="288">
        <v>4.1029927574500885E-2</v>
      </c>
      <c r="K233" s="288">
        <v>3.9121561598520364E-2</v>
      </c>
      <c r="L233" s="288">
        <v>2.0918294060269425E-2</v>
      </c>
    </row>
    <row r="234" spans="1:12" x14ac:dyDescent="0.35">
      <c r="A234" s="287" t="s">
        <v>108</v>
      </c>
      <c r="B234" s="105">
        <v>11641</v>
      </c>
      <c r="C234" s="105">
        <v>21791</v>
      </c>
      <c r="D234" s="105">
        <v>20853</v>
      </c>
      <c r="E234">
        <v>14202</v>
      </c>
      <c r="H234" s="287" t="s">
        <v>108</v>
      </c>
      <c r="I234" s="288">
        <v>3.0856751938558014E-2</v>
      </c>
      <c r="J234" s="288">
        <v>5.8697685909660499E-2</v>
      </c>
      <c r="K234" s="288">
        <v>5.7073032322229267E-2</v>
      </c>
      <c r="L234" s="288">
        <v>3.8869764783978328E-2</v>
      </c>
    </row>
    <row r="235" spans="1:12" x14ac:dyDescent="0.35">
      <c r="A235" s="287" t="s">
        <v>39</v>
      </c>
      <c r="B235" s="105">
        <v>-6559</v>
      </c>
      <c r="C235" s="105">
        <v>-6559</v>
      </c>
      <c r="D235" s="105">
        <v>-6559</v>
      </c>
      <c r="E235">
        <v>-6559</v>
      </c>
      <c r="H235" s="287" t="s">
        <v>39</v>
      </c>
      <c r="I235" s="288">
        <v>-1.7385914952753372E-2</v>
      </c>
      <c r="J235" s="288">
        <v>-1.7667758335159617E-2</v>
      </c>
      <c r="K235" s="288">
        <v>-1.7951470723708902E-2</v>
      </c>
      <c r="L235" s="288">
        <v>-1.7951470723708902E-2</v>
      </c>
    </row>
    <row r="236" spans="1:12" x14ac:dyDescent="0.35">
      <c r="A236" s="246" t="s">
        <v>142</v>
      </c>
      <c r="B236" s="105">
        <v>-433</v>
      </c>
      <c r="C236" s="105">
        <v>-420</v>
      </c>
      <c r="D236" s="105">
        <v>-420</v>
      </c>
      <c r="E236">
        <v>-264</v>
      </c>
      <c r="H236" s="246" t="s">
        <v>142</v>
      </c>
      <c r="I236" s="288">
        <v>-8.1074079592187692E-4</v>
      </c>
      <c r="J236" s="288">
        <v>-7.6215469334043554E-4</v>
      </c>
      <c r="K236" s="288">
        <v>-7.5166033714972732E-4</v>
      </c>
      <c r="L236" s="288">
        <v>-4.7247221192268582E-4</v>
      </c>
    </row>
    <row r="237" spans="1:12" x14ac:dyDescent="0.35">
      <c r="A237" s="287" t="s">
        <v>108</v>
      </c>
      <c r="B237" s="105">
        <v>1790</v>
      </c>
      <c r="C237" s="105">
        <v>1790</v>
      </c>
      <c r="D237" s="105">
        <v>1790</v>
      </c>
      <c r="E237">
        <v>1946</v>
      </c>
      <c r="H237" s="287" t="s">
        <v>108</v>
      </c>
      <c r="I237" s="288">
        <v>3.351561257968037E-3</v>
      </c>
      <c r="J237" s="288">
        <v>3.2482307168556664E-3</v>
      </c>
      <c r="K237" s="288">
        <v>3.203504770233363E-3</v>
      </c>
      <c r="L237" s="288">
        <v>3.4826928954604045E-3</v>
      </c>
    </row>
    <row r="238" spans="1:12" x14ac:dyDescent="0.35">
      <c r="A238" s="287" t="s">
        <v>39</v>
      </c>
      <c r="B238" s="105">
        <v>-2223</v>
      </c>
      <c r="C238" s="105">
        <v>-2210</v>
      </c>
      <c r="D238" s="105">
        <v>-2210</v>
      </c>
      <c r="E238">
        <v>-2210</v>
      </c>
      <c r="H238" s="287" t="s">
        <v>39</v>
      </c>
      <c r="I238" s="288">
        <v>-4.1623020538899139E-3</v>
      </c>
      <c r="J238" s="288">
        <v>-4.0103854101961019E-3</v>
      </c>
      <c r="K238" s="288">
        <v>-3.9551651073830903E-3</v>
      </c>
      <c r="L238" s="288">
        <v>-3.9551651073830903E-3</v>
      </c>
    </row>
    <row r="239" spans="1:12" x14ac:dyDescent="0.35">
      <c r="A239" s="246" t="s">
        <v>143</v>
      </c>
      <c r="B239" s="105">
        <v>-3000</v>
      </c>
      <c r="C239" s="105">
        <v>-3000</v>
      </c>
      <c r="D239" s="105">
        <v>-3000</v>
      </c>
      <c r="E239">
        <v>-3000</v>
      </c>
      <c r="H239" s="246" t="s">
        <v>143</v>
      </c>
      <c r="I239" s="288">
        <v>-3.6424779661044113E-2</v>
      </c>
      <c r="J239" s="288">
        <v>-3.6495637767656727E-2</v>
      </c>
      <c r="K239" s="288">
        <v>-3.6495678169625928E-2</v>
      </c>
      <c r="L239" s="288">
        <v>-3.6495678169625928E-2</v>
      </c>
    </row>
    <row r="240" spans="1:12" x14ac:dyDescent="0.35">
      <c r="A240" s="287" t="s">
        <v>108</v>
      </c>
      <c r="B240" s="105">
        <v>0</v>
      </c>
      <c r="C240" s="105">
        <v>0</v>
      </c>
      <c r="D240" s="105">
        <v>0</v>
      </c>
      <c r="E240">
        <v>0</v>
      </c>
      <c r="H240" s="287" t="s">
        <v>108</v>
      </c>
      <c r="I240" s="288">
        <v>0</v>
      </c>
      <c r="J240" s="288">
        <v>0</v>
      </c>
      <c r="K240" s="288">
        <v>0</v>
      </c>
      <c r="L240" s="288">
        <v>0</v>
      </c>
    </row>
    <row r="241" spans="1:12" x14ac:dyDescent="0.35">
      <c r="A241" s="287" t="s">
        <v>39</v>
      </c>
      <c r="B241" s="105">
        <v>-3000</v>
      </c>
      <c r="C241" s="105">
        <v>-3000</v>
      </c>
      <c r="D241" s="105">
        <v>-3000</v>
      </c>
      <c r="E241">
        <v>-3000</v>
      </c>
      <c r="H241" s="287" t="s">
        <v>39</v>
      </c>
      <c r="I241" s="288">
        <v>-3.6424779661044113E-2</v>
      </c>
      <c r="J241" s="288">
        <v>-3.6495637767656727E-2</v>
      </c>
      <c r="K241" s="288">
        <v>-3.6495678169625928E-2</v>
      </c>
      <c r="L241" s="288">
        <v>-3.6495678169625928E-2</v>
      </c>
    </row>
    <row r="242" spans="1:12" x14ac:dyDescent="0.35">
      <c r="A242" s="246" t="s">
        <v>440</v>
      </c>
      <c r="B242" s="105">
        <v>-4365</v>
      </c>
      <c r="C242" s="105">
        <v>-2115</v>
      </c>
      <c r="D242" s="105">
        <v>-2115</v>
      </c>
      <c r="E242">
        <v>-2115</v>
      </c>
      <c r="H242" s="246" t="s">
        <v>440</v>
      </c>
      <c r="I242" s="288">
        <v>-8.9906404652146665E-2</v>
      </c>
      <c r="J242" s="288">
        <v>-4.3562879154101571E-2</v>
      </c>
      <c r="K242" s="288">
        <v>-4.3562880948640123E-2</v>
      </c>
      <c r="L242" s="288">
        <v>-4.3562880948640123E-2</v>
      </c>
    </row>
    <row r="243" spans="1:12" x14ac:dyDescent="0.35">
      <c r="A243" s="287" t="s">
        <v>108</v>
      </c>
      <c r="B243" s="105">
        <v>100</v>
      </c>
      <c r="C243" s="105">
        <v>100</v>
      </c>
      <c r="D243" s="105">
        <v>100</v>
      </c>
      <c r="E243">
        <v>100</v>
      </c>
      <c r="H243" s="287" t="s">
        <v>108</v>
      </c>
      <c r="I243" s="288">
        <v>2.0597114467845743E-3</v>
      </c>
      <c r="J243" s="288">
        <v>2.059710598302675E-3</v>
      </c>
      <c r="K243" s="288">
        <v>2.0597106831508334E-3</v>
      </c>
      <c r="L243" s="288">
        <v>2.0597106831508334E-3</v>
      </c>
    </row>
    <row r="244" spans="1:12" x14ac:dyDescent="0.35">
      <c r="A244" s="287" t="s">
        <v>39</v>
      </c>
      <c r="B244" s="105">
        <v>-4465</v>
      </c>
      <c r="C244" s="105">
        <v>-2215</v>
      </c>
      <c r="D244" s="105">
        <v>-2215</v>
      </c>
      <c r="E244">
        <v>-2215</v>
      </c>
      <c r="H244" s="287" t="s">
        <v>39</v>
      </c>
      <c r="I244" s="288">
        <v>-9.1966116098931239E-2</v>
      </c>
      <c r="J244" s="288">
        <v>-4.5622589752404248E-2</v>
      </c>
      <c r="K244" s="288">
        <v>-4.5622591631790957E-2</v>
      </c>
      <c r="L244" s="288">
        <v>-4.5622591631790957E-2</v>
      </c>
    </row>
    <row r="245" spans="1:12" x14ac:dyDescent="0.35">
      <c r="A245" s="246" t="s">
        <v>111</v>
      </c>
      <c r="B245" s="105">
        <v>9720</v>
      </c>
      <c r="C245" s="105">
        <v>12393</v>
      </c>
      <c r="D245" s="105">
        <v>8728</v>
      </c>
      <c r="E245">
        <v>2390</v>
      </c>
      <c r="H245" s="246" t="s">
        <v>111</v>
      </c>
      <c r="I245" s="288">
        <v>2.9641850240266557E-2</v>
      </c>
      <c r="J245" s="288">
        <v>3.7854049562414303E-2</v>
      </c>
      <c r="K245" s="288">
        <v>2.6721064729357636E-2</v>
      </c>
      <c r="L245" s="288">
        <v>7.3170651584744213E-3</v>
      </c>
    </row>
    <row r="246" spans="1:12" x14ac:dyDescent="0.35">
      <c r="A246" s="287" t="s">
        <v>108</v>
      </c>
      <c r="B246" s="105">
        <v>9720</v>
      </c>
      <c r="C246" s="105">
        <v>12393</v>
      </c>
      <c r="D246" s="105">
        <v>8728</v>
      </c>
      <c r="E246">
        <v>2390</v>
      </c>
      <c r="H246" s="287" t="s">
        <v>108</v>
      </c>
      <c r="I246" s="288">
        <v>2.9641850240266557E-2</v>
      </c>
      <c r="J246" s="288">
        <v>3.7854049562414303E-2</v>
      </c>
      <c r="K246" s="288">
        <v>2.6721064729357636E-2</v>
      </c>
      <c r="L246" s="288">
        <v>7.3170651584744213E-3</v>
      </c>
    </row>
    <row r="247" spans="1:12" x14ac:dyDescent="0.35">
      <c r="A247" s="287" t="s">
        <v>39</v>
      </c>
      <c r="B247" s="105">
        <v>0</v>
      </c>
      <c r="C247" s="105">
        <v>0</v>
      </c>
      <c r="D247" s="105">
        <v>0</v>
      </c>
      <c r="E247">
        <v>0</v>
      </c>
      <c r="H247" s="287" t="s">
        <v>39</v>
      </c>
      <c r="I247" s="288">
        <v>0</v>
      </c>
      <c r="J247" s="288">
        <v>0</v>
      </c>
      <c r="K247" s="288">
        <v>0</v>
      </c>
      <c r="L247" s="288">
        <v>0</v>
      </c>
    </row>
    <row r="248" spans="1:12" x14ac:dyDescent="0.35">
      <c r="A248" s="246" t="s">
        <v>112</v>
      </c>
      <c r="B248" s="105">
        <v>2449</v>
      </c>
      <c r="C248" s="105">
        <v>5999</v>
      </c>
      <c r="D248" s="105">
        <v>5966</v>
      </c>
      <c r="E248">
        <v>3317</v>
      </c>
      <c r="H248" s="246" t="s">
        <v>112</v>
      </c>
      <c r="I248" s="288">
        <v>3.5220843150196544E-3</v>
      </c>
      <c r="J248" s="288">
        <v>8.6725917049879832E-3</v>
      </c>
      <c r="K248" s="288">
        <v>8.5402433458599478E-3</v>
      </c>
      <c r="L248" s="288">
        <v>4.7482378776764061E-3</v>
      </c>
    </row>
    <row r="249" spans="1:12" x14ac:dyDescent="0.35">
      <c r="A249" s="287" t="s">
        <v>108</v>
      </c>
      <c r="B249" s="105">
        <v>11166</v>
      </c>
      <c r="C249" s="105">
        <v>15999</v>
      </c>
      <c r="D249" s="105">
        <v>15966</v>
      </c>
      <c r="E249">
        <v>13317</v>
      </c>
      <c r="H249" s="287" t="s">
        <v>108</v>
      </c>
      <c r="I249" s="288">
        <v>1.605863350817047E-2</v>
      </c>
      <c r="J249" s="288">
        <v>2.3129320668128481E-2</v>
      </c>
      <c r="K249" s="288">
        <v>2.2855099775393888E-2</v>
      </c>
      <c r="L249" s="288">
        <v>1.9063094307210347E-2</v>
      </c>
    </row>
    <row r="250" spans="1:12" x14ac:dyDescent="0.35">
      <c r="A250" s="287" t="s">
        <v>39</v>
      </c>
      <c r="B250" s="105">
        <v>-8717</v>
      </c>
      <c r="C250" s="105">
        <v>-10000</v>
      </c>
      <c r="D250" s="105">
        <v>-10000</v>
      </c>
      <c r="E250">
        <v>-10000</v>
      </c>
      <c r="H250" s="287" t="s">
        <v>39</v>
      </c>
      <c r="I250" s="288">
        <v>-1.2536549193150816E-2</v>
      </c>
      <c r="J250" s="288">
        <v>-1.4456728963140498E-2</v>
      </c>
      <c r="K250" s="288">
        <v>-1.431485642953394E-2</v>
      </c>
      <c r="L250" s="288">
        <v>-1.431485642953394E-2</v>
      </c>
    </row>
    <row r="251" spans="1:12" x14ac:dyDescent="0.35">
      <c r="A251" s="246" t="s">
        <v>144</v>
      </c>
      <c r="B251" s="105">
        <v>0</v>
      </c>
      <c r="C251" s="105">
        <v>0</v>
      </c>
      <c r="D251" s="105">
        <v>0</v>
      </c>
      <c r="E251">
        <v>0</v>
      </c>
      <c r="H251" s="246" t="s">
        <v>144</v>
      </c>
      <c r="I251" s="288">
        <v>0</v>
      </c>
      <c r="J251" s="288">
        <v>0</v>
      </c>
      <c r="K251" s="288">
        <v>0</v>
      </c>
      <c r="L251" s="288">
        <v>0</v>
      </c>
    </row>
    <row r="252" spans="1:12" x14ac:dyDescent="0.35">
      <c r="A252" s="287" t="s">
        <v>108</v>
      </c>
      <c r="B252" s="105">
        <v>0</v>
      </c>
      <c r="C252" s="105">
        <v>0</v>
      </c>
      <c r="D252" s="105">
        <v>0</v>
      </c>
      <c r="E252">
        <v>0</v>
      </c>
      <c r="H252" s="287" t="s">
        <v>108</v>
      </c>
      <c r="I252" s="288">
        <v>0</v>
      </c>
      <c r="J252" s="288">
        <v>0</v>
      </c>
      <c r="K252" s="288">
        <v>0</v>
      </c>
      <c r="L252" s="288">
        <v>0</v>
      </c>
    </row>
    <row r="253" spans="1:12" x14ac:dyDescent="0.35">
      <c r="A253" s="287" t="s">
        <v>39</v>
      </c>
      <c r="B253" s="105">
        <v>0</v>
      </c>
      <c r="C253" s="105">
        <v>0</v>
      </c>
      <c r="D253" s="105">
        <v>0</v>
      </c>
      <c r="E253">
        <v>0</v>
      </c>
      <c r="H253" s="287" t="s">
        <v>39</v>
      </c>
      <c r="I253" s="288">
        <v>0</v>
      </c>
      <c r="J253" s="288">
        <v>0</v>
      </c>
      <c r="K253" s="288">
        <v>0</v>
      </c>
      <c r="L253" s="288">
        <v>0</v>
      </c>
    </row>
    <row r="254" spans="1:12" x14ac:dyDescent="0.35">
      <c r="A254" s="246" t="s">
        <v>113</v>
      </c>
      <c r="B254" s="105">
        <v>9675</v>
      </c>
      <c r="C254" s="105">
        <v>14327</v>
      </c>
      <c r="D254" s="105">
        <v>16254</v>
      </c>
      <c r="E254">
        <v>11143</v>
      </c>
      <c r="H254" s="246" t="s">
        <v>113</v>
      </c>
      <c r="I254" s="288">
        <v>4.3673217405520007E-2</v>
      </c>
      <c r="J254" s="288">
        <v>6.5609037563182065E-2</v>
      </c>
      <c r="K254" s="288">
        <v>7.6222062432359308E-2</v>
      </c>
      <c r="L254" s="288">
        <v>5.2254364567723616E-2</v>
      </c>
    </row>
    <row r="255" spans="1:12" x14ac:dyDescent="0.35">
      <c r="A255" s="287" t="s">
        <v>108</v>
      </c>
      <c r="B255" s="105">
        <v>12195</v>
      </c>
      <c r="C255" s="105">
        <v>17937</v>
      </c>
      <c r="D255" s="105">
        <v>20264</v>
      </c>
      <c r="E255">
        <v>15153</v>
      </c>
      <c r="H255" s="287" t="s">
        <v>108</v>
      </c>
      <c r="I255" s="288">
        <v>5.5048567055329865E-2</v>
      </c>
      <c r="J255" s="288">
        <v>8.2140664952243786E-2</v>
      </c>
      <c r="K255" s="288">
        <v>9.5026693314219826E-2</v>
      </c>
      <c r="L255" s="288">
        <v>7.1058995449584134E-2</v>
      </c>
    </row>
    <row r="256" spans="1:12" x14ac:dyDescent="0.35">
      <c r="A256" s="287" t="s">
        <v>39</v>
      </c>
      <c r="B256" s="105">
        <v>-2520</v>
      </c>
      <c r="C256" s="105">
        <v>-3610</v>
      </c>
      <c r="D256" s="105">
        <v>-4010</v>
      </c>
      <c r="E256">
        <v>-4010</v>
      </c>
      <c r="H256" s="287" t="s">
        <v>39</v>
      </c>
      <c r="I256" s="288">
        <v>-1.137534964980986E-2</v>
      </c>
      <c r="J256" s="288">
        <v>-1.653162738906172E-2</v>
      </c>
      <c r="K256" s="288">
        <v>-1.8804630881860514E-2</v>
      </c>
      <c r="L256" s="288">
        <v>-1.8804630881860514E-2</v>
      </c>
    </row>
    <row r="257" spans="1:12" x14ac:dyDescent="0.35">
      <c r="A257" s="246" t="s">
        <v>445</v>
      </c>
      <c r="B257" s="105">
        <v>-4303</v>
      </c>
      <c r="C257" s="105">
        <v>2136</v>
      </c>
      <c r="D257" s="105">
        <v>136</v>
      </c>
      <c r="E257">
        <v>136</v>
      </c>
      <c r="H257" s="246" t="s">
        <v>445</v>
      </c>
      <c r="I257" s="288">
        <v>-4.0519656162420557E-2</v>
      </c>
      <c r="J257" s="288">
        <v>2.2053891285219014E-2</v>
      </c>
      <c r="K257" s="288">
        <v>1.4032429088074016E-3</v>
      </c>
      <c r="L257" s="288">
        <v>1.4032429088074016E-3</v>
      </c>
    </row>
    <row r="258" spans="1:12" x14ac:dyDescent="0.35">
      <c r="A258" s="287" t="s">
        <v>108</v>
      </c>
      <c r="B258" s="105">
        <v>485</v>
      </c>
      <c r="C258" s="105">
        <v>485</v>
      </c>
      <c r="D258" s="105">
        <v>485</v>
      </c>
      <c r="E258">
        <v>485</v>
      </c>
      <c r="H258" s="287" t="s">
        <v>108</v>
      </c>
      <c r="I258" s="288">
        <v>4.5670539713627634E-3</v>
      </c>
      <c r="J258" s="288">
        <v>5.0075549032449537E-3</v>
      </c>
      <c r="K258" s="288">
        <v>5.0042118439087482E-3</v>
      </c>
      <c r="L258" s="288">
        <v>5.0042118439087482E-3</v>
      </c>
    </row>
    <row r="259" spans="1:12" x14ac:dyDescent="0.35">
      <c r="A259" s="287" t="s">
        <v>39</v>
      </c>
      <c r="B259" s="105">
        <v>-4788</v>
      </c>
      <c r="C259" s="105">
        <v>1651</v>
      </c>
      <c r="D259" s="105">
        <v>-349</v>
      </c>
      <c r="E259">
        <v>-349</v>
      </c>
      <c r="H259" s="287" t="s">
        <v>39</v>
      </c>
      <c r="I259" s="288">
        <v>-4.508671013378332E-2</v>
      </c>
      <c r="J259" s="288">
        <v>1.7046336381974059E-2</v>
      </c>
      <c r="K259" s="288">
        <v>-3.6009689351013466E-3</v>
      </c>
      <c r="L259" s="288">
        <v>-3.6009689351013466E-3</v>
      </c>
    </row>
    <row r="260" spans="1:12" x14ac:dyDescent="0.35">
      <c r="A260" s="246" t="s">
        <v>114</v>
      </c>
      <c r="B260" s="105">
        <v>-78</v>
      </c>
      <c r="C260" s="105">
        <v>-78</v>
      </c>
      <c r="D260" s="105">
        <v>-78</v>
      </c>
      <c r="E260">
        <v>-78</v>
      </c>
      <c r="H260" s="246" t="s">
        <v>114</v>
      </c>
      <c r="I260" s="288">
        <v>-1.262588656385526E-2</v>
      </c>
      <c r="J260" s="288">
        <v>-1.2627989939701347E-2</v>
      </c>
      <c r="K260" s="288">
        <v>-1.2627989939701347E-2</v>
      </c>
      <c r="L260" s="288">
        <v>-1.2627989939701347E-2</v>
      </c>
    </row>
    <row r="261" spans="1:12" x14ac:dyDescent="0.35">
      <c r="A261" s="287" t="s">
        <v>108</v>
      </c>
      <c r="B261" s="105">
        <v>0</v>
      </c>
      <c r="C261" s="105">
        <v>0</v>
      </c>
      <c r="D261" s="105">
        <v>0</v>
      </c>
      <c r="E261">
        <v>0</v>
      </c>
      <c r="H261" s="287" t="s">
        <v>108</v>
      </c>
      <c r="I261" s="288">
        <v>0</v>
      </c>
      <c r="J261" s="288">
        <v>0</v>
      </c>
      <c r="K261" s="288">
        <v>0</v>
      </c>
      <c r="L261" s="288">
        <v>0</v>
      </c>
    </row>
    <row r="262" spans="1:12" x14ac:dyDescent="0.35">
      <c r="A262" s="287" t="s">
        <v>39</v>
      </c>
      <c r="B262" s="105">
        <v>-78</v>
      </c>
      <c r="C262" s="105">
        <v>-78</v>
      </c>
      <c r="D262" s="105">
        <v>-78</v>
      </c>
      <c r="E262">
        <v>-78</v>
      </c>
      <c r="H262" s="287" t="s">
        <v>39</v>
      </c>
      <c r="I262" s="288">
        <v>-1.262588656385526E-2</v>
      </c>
      <c r="J262" s="288">
        <v>-1.2627989939701347E-2</v>
      </c>
      <c r="K262" s="288">
        <v>-1.2627989939701347E-2</v>
      </c>
      <c r="L262" s="288">
        <v>-1.2627989939701347E-2</v>
      </c>
    </row>
    <row r="263" spans="1:12" x14ac:dyDescent="0.35">
      <c r="A263" s="246" t="s">
        <v>441</v>
      </c>
      <c r="B263" s="105">
        <v>-19869</v>
      </c>
      <c r="C263" s="105">
        <v>-2300</v>
      </c>
      <c r="D263" s="105">
        <v>-2300</v>
      </c>
      <c r="E263">
        <v>-2300</v>
      </c>
      <c r="H263" s="246" t="s">
        <v>441</v>
      </c>
      <c r="I263" s="288">
        <v>-0.16851567292021327</v>
      </c>
      <c r="J263" s="288">
        <v>-1.9551630615769169E-2</v>
      </c>
      <c r="K263" s="288">
        <v>-1.9551630615769169E-2</v>
      </c>
      <c r="L263" s="288">
        <v>-1.9551630615769169E-2</v>
      </c>
    </row>
    <row r="264" spans="1:12" x14ac:dyDescent="0.35">
      <c r="A264" s="287" t="s">
        <v>108</v>
      </c>
      <c r="B264" s="105">
        <v>0</v>
      </c>
      <c r="C264" s="105">
        <v>0</v>
      </c>
      <c r="D264" s="105">
        <v>0</v>
      </c>
      <c r="E264">
        <v>0</v>
      </c>
      <c r="H264" s="287" t="s">
        <v>108</v>
      </c>
      <c r="I264" s="288">
        <v>0</v>
      </c>
      <c r="J264" s="288">
        <v>0</v>
      </c>
      <c r="K264" s="288">
        <v>0</v>
      </c>
      <c r="L264" s="288">
        <v>0</v>
      </c>
    </row>
    <row r="265" spans="1:12" x14ac:dyDescent="0.35">
      <c r="A265" s="287" t="s">
        <v>39</v>
      </c>
      <c r="B265" s="105">
        <v>-19869</v>
      </c>
      <c r="C265" s="105">
        <v>-2300</v>
      </c>
      <c r="D265" s="105">
        <v>-2300</v>
      </c>
      <c r="E265">
        <v>-2300</v>
      </c>
      <c r="H265" s="287" t="s">
        <v>39</v>
      </c>
      <c r="I265" s="288">
        <v>-0.16851567292021327</v>
      </c>
      <c r="J265" s="288">
        <v>-1.9551630615769169E-2</v>
      </c>
      <c r="K265" s="288">
        <v>-1.9551630615769169E-2</v>
      </c>
      <c r="L265" s="288">
        <v>-1.9551630615769169E-2</v>
      </c>
    </row>
    <row r="266" spans="1:12" x14ac:dyDescent="0.35">
      <c r="A266" s="246" t="s">
        <v>116</v>
      </c>
      <c r="B266" s="105">
        <v>-29862</v>
      </c>
      <c r="C266" s="105">
        <v>22512</v>
      </c>
      <c r="D266" s="105">
        <v>17903</v>
      </c>
      <c r="E266">
        <v>435</v>
      </c>
      <c r="H266" s="246" t="s">
        <v>116</v>
      </c>
      <c r="I266" s="288">
        <v>-9.2142628617157205E-3</v>
      </c>
      <c r="J266" s="288">
        <v>6.9833621591986993E-3</v>
      </c>
      <c r="K266" s="288">
        <v>5.5380681756460222E-3</v>
      </c>
      <c r="L266" s="288">
        <v>1.3456178609205088E-4</v>
      </c>
    </row>
    <row r="267" spans="1:12" x14ac:dyDescent="0.35">
      <c r="A267" s="287" t="s">
        <v>108</v>
      </c>
      <c r="B267" s="105">
        <v>58892</v>
      </c>
      <c r="C267" s="105">
        <v>82886</v>
      </c>
      <c r="D267" s="105">
        <v>80577</v>
      </c>
      <c r="E267">
        <v>59984</v>
      </c>
      <c r="H267" s="287" t="s">
        <v>108</v>
      </c>
      <c r="I267" s="288">
        <v>1.817180257357719E-2</v>
      </c>
      <c r="J267" s="288">
        <v>2.5711751773602673E-2</v>
      </c>
      <c r="K267" s="288">
        <v>2.4925482845837538E-2</v>
      </c>
      <c r="L267" s="288">
        <v>1.8555296958495834E-2</v>
      </c>
    </row>
    <row r="268" spans="1:12" x14ac:dyDescent="0.35">
      <c r="A268" s="287" t="s">
        <v>39</v>
      </c>
      <c r="B268" s="105">
        <v>-88754</v>
      </c>
      <c r="C268" s="105">
        <v>-60374</v>
      </c>
      <c r="D268" s="105">
        <v>-62674</v>
      </c>
      <c r="E268">
        <v>-59549</v>
      </c>
      <c r="H268" s="287" t="s">
        <v>39</v>
      </c>
      <c r="I268" s="288">
        <v>-2.738606543529291E-2</v>
      </c>
      <c r="J268" s="288">
        <v>-1.8728389614403974E-2</v>
      </c>
      <c r="K268" s="288">
        <v>-1.9387414670191516E-2</v>
      </c>
      <c r="L268" s="288">
        <v>-1.8420735172403783E-2</v>
      </c>
    </row>
  </sheetData>
  <phoneticPr fontId="182" type="noConversion"/>
  <pageMargins left="0.7" right="0.7" top="0.75" bottom="0.75" header="0.3" footer="0.3"/>
  <pageSetup paperSize="8" fitToHeight="0" orientation="portrait" horizontalDpi="300" verticalDpi="30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2:H32"/>
  <sheetViews>
    <sheetView workbookViewId="0"/>
  </sheetViews>
  <sheetFormatPr defaultColWidth="9.46484375" defaultRowHeight="13.15" x14ac:dyDescent="0.4"/>
  <cols>
    <col min="1" max="1" width="21.6640625" bestFit="1" customWidth="1"/>
    <col min="2" max="5" width="11.53125" bestFit="1" customWidth="1"/>
    <col min="6" max="6" width="10.53125" customWidth="1"/>
    <col min="7" max="7" width="12.46484375" bestFit="1" customWidth="1"/>
    <col min="8" max="8" width="14.46484375" style="96" customWidth="1"/>
    <col min="9" max="9" width="20.46484375" bestFit="1" customWidth="1"/>
    <col min="10" max="10" width="27.53125" bestFit="1" customWidth="1"/>
    <col min="11" max="11" width="21.46484375" bestFit="1" customWidth="1"/>
    <col min="12" max="12" width="27.46484375" bestFit="1" customWidth="1"/>
    <col min="13" max="13" width="5.53125" customWidth="1"/>
    <col min="14" max="14" width="12.46484375" bestFit="1" customWidth="1"/>
    <col min="15" max="15" width="14.46484375" bestFit="1" customWidth="1"/>
    <col min="16" max="16" width="20.46484375" bestFit="1" customWidth="1"/>
    <col min="17" max="17" width="27.53125" bestFit="1" customWidth="1"/>
    <col min="18" max="18" width="21.46484375" bestFit="1" customWidth="1"/>
    <col min="19" max="19" width="27.46484375" bestFit="1" customWidth="1"/>
    <col min="20" max="20" width="5.53125" customWidth="1"/>
    <col min="21" max="22" width="16.53125" bestFit="1" customWidth="1"/>
    <col min="23" max="24" width="17.46484375" bestFit="1" customWidth="1"/>
  </cols>
  <sheetData>
    <row r="2" spans="1:8" x14ac:dyDescent="0.4">
      <c r="B2" s="148" t="s">
        <v>181</v>
      </c>
      <c r="G2" s="28"/>
    </row>
    <row r="3" spans="1:8" x14ac:dyDescent="0.4">
      <c r="G3" s="28" t="s">
        <v>196</v>
      </c>
    </row>
    <row r="4" spans="1:8" ht="20.25" x14ac:dyDescent="0.55000000000000004">
      <c r="A4" s="289" t="s">
        <v>176</v>
      </c>
      <c r="G4" s="28" t="s">
        <v>195</v>
      </c>
      <c r="H4" s="335" t="s">
        <v>465</v>
      </c>
    </row>
    <row r="5" spans="1:8" s="295" customFormat="1" x14ac:dyDescent="0.4">
      <c r="A5" s="334" t="s">
        <v>320</v>
      </c>
      <c r="B5" t="s">
        <v>245</v>
      </c>
      <c r="C5" t="s">
        <v>270</v>
      </c>
      <c r="D5" t="s">
        <v>323</v>
      </c>
      <c r="E5" t="s">
        <v>459</v>
      </c>
      <c r="H5" s="336"/>
    </row>
    <row r="6" spans="1:8" x14ac:dyDescent="0.4">
      <c r="A6" s="246" t="s">
        <v>193</v>
      </c>
      <c r="B6" s="105">
        <v>21844</v>
      </c>
      <c r="C6" s="105">
        <v>32719</v>
      </c>
      <c r="D6" s="105">
        <v>30948</v>
      </c>
      <c r="E6">
        <v>16850</v>
      </c>
      <c r="G6" s="147">
        <f>' Balance akt.'!D125+' Balance akt.'!D134+' Balance akt.'!D143+' Balance akt.'!D152</f>
        <v>1250703.963</v>
      </c>
      <c r="H6" s="337">
        <f>B6/G6</f>
        <v>1.7465364023956483E-2</v>
      </c>
    </row>
    <row r="7" spans="1:8" x14ac:dyDescent="0.4">
      <c r="A7" s="287" t="s">
        <v>108</v>
      </c>
      <c r="B7" s="105">
        <v>33081</v>
      </c>
      <c r="C7" s="105">
        <v>46329</v>
      </c>
      <c r="D7" s="105">
        <v>44958</v>
      </c>
      <c r="E7">
        <v>30860</v>
      </c>
      <c r="H7" s="338"/>
    </row>
    <row r="8" spans="1:8" x14ac:dyDescent="0.4">
      <c r="A8" s="287" t="s">
        <v>39</v>
      </c>
      <c r="B8" s="105">
        <v>-11237</v>
      </c>
      <c r="C8" s="105">
        <v>-13610</v>
      </c>
      <c r="D8" s="105">
        <v>-14010</v>
      </c>
      <c r="E8">
        <v>-14010</v>
      </c>
    </row>
    <row r="9" spans="1:8" x14ac:dyDescent="0.4">
      <c r="A9" s="246" t="s">
        <v>457</v>
      </c>
      <c r="B9" s="105">
        <v>-4415</v>
      </c>
      <c r="C9" s="105">
        <v>-2165</v>
      </c>
      <c r="D9" s="105">
        <v>-2165</v>
      </c>
      <c r="E9">
        <v>-2165</v>
      </c>
      <c r="G9" s="147">
        <f>' Balance akt.'!D116+' Balance akt.'!D89+' Balance akt.'!D71</f>
        <v>50138.437999999995</v>
      </c>
      <c r="H9" s="337">
        <f>B9/G9</f>
        <v>-8.8056193533591939E-2</v>
      </c>
    </row>
    <row r="10" spans="1:8" x14ac:dyDescent="0.4">
      <c r="A10" s="287" t="s">
        <v>108</v>
      </c>
      <c r="B10" s="105">
        <v>100</v>
      </c>
      <c r="C10" s="105">
        <v>100</v>
      </c>
      <c r="D10" s="105">
        <v>100</v>
      </c>
      <c r="E10">
        <v>100</v>
      </c>
      <c r="G10" s="147"/>
    </row>
    <row r="11" spans="1:8" x14ac:dyDescent="0.4">
      <c r="A11" s="287" t="s">
        <v>39</v>
      </c>
      <c r="B11" s="105">
        <v>-4515</v>
      </c>
      <c r="C11" s="105">
        <v>-2265</v>
      </c>
      <c r="D11" s="105">
        <v>-2265</v>
      </c>
      <c r="E11">
        <v>-2265</v>
      </c>
      <c r="G11" s="147"/>
    </row>
    <row r="12" spans="1:8" x14ac:dyDescent="0.4">
      <c r="A12" s="246" t="s">
        <v>462</v>
      </c>
      <c r="B12" s="105">
        <v>-4303</v>
      </c>
      <c r="C12" s="105">
        <v>2136</v>
      </c>
      <c r="D12" s="105">
        <v>136</v>
      </c>
      <c r="E12">
        <v>136</v>
      </c>
      <c r="G12" s="147">
        <f>' Balance akt.'!D161</f>
        <v>106195.37300000001</v>
      </c>
      <c r="H12" s="337">
        <f>B12/G12</f>
        <v>-4.0519656162420557E-2</v>
      </c>
    </row>
    <row r="13" spans="1:8" x14ac:dyDescent="0.4">
      <c r="A13" s="287" t="s">
        <v>108</v>
      </c>
      <c r="B13" s="105">
        <v>485</v>
      </c>
      <c r="C13" s="105">
        <v>485</v>
      </c>
      <c r="D13" s="105">
        <v>485</v>
      </c>
      <c r="E13">
        <v>485</v>
      </c>
      <c r="G13" s="147"/>
    </row>
    <row r="14" spans="1:8" x14ac:dyDescent="0.4">
      <c r="A14" s="287" t="s">
        <v>39</v>
      </c>
      <c r="B14" s="105">
        <v>-4788</v>
      </c>
      <c r="C14" s="105">
        <v>1651</v>
      </c>
      <c r="D14" s="105">
        <v>-349</v>
      </c>
      <c r="E14">
        <v>-349</v>
      </c>
      <c r="G14" s="147"/>
    </row>
    <row r="15" spans="1:8" x14ac:dyDescent="0.4">
      <c r="A15" s="246" t="s">
        <v>461</v>
      </c>
      <c r="B15" s="105">
        <v>-19869</v>
      </c>
      <c r="C15" s="105">
        <v>-2300</v>
      </c>
      <c r="D15" s="105">
        <v>-2300</v>
      </c>
      <c r="E15">
        <v>-2300</v>
      </c>
      <c r="G15" s="147">
        <f>' Balance akt.'!D179</f>
        <v>117905.947</v>
      </c>
      <c r="H15" s="337">
        <f>B15/G15</f>
        <v>-0.16851567292021327</v>
      </c>
    </row>
    <row r="16" spans="1:8" x14ac:dyDescent="0.4">
      <c r="A16" s="287" t="s">
        <v>108</v>
      </c>
      <c r="B16" s="105">
        <v>0</v>
      </c>
      <c r="C16" s="105">
        <v>0</v>
      </c>
      <c r="D16" s="105">
        <v>0</v>
      </c>
      <c r="E16">
        <v>0</v>
      </c>
      <c r="G16" s="147"/>
    </row>
    <row r="17" spans="1:8" x14ac:dyDescent="0.4">
      <c r="A17" s="287" t="s">
        <v>39</v>
      </c>
      <c r="B17" s="105">
        <v>-19869</v>
      </c>
      <c r="C17" s="105">
        <v>-2300</v>
      </c>
      <c r="D17" s="105">
        <v>-2300</v>
      </c>
      <c r="E17">
        <v>-2300</v>
      </c>
      <c r="G17" s="147"/>
    </row>
    <row r="18" spans="1:8" x14ac:dyDescent="0.4">
      <c r="A18" s="246" t="s">
        <v>192</v>
      </c>
      <c r="B18" s="105">
        <v>2700</v>
      </c>
      <c r="C18" s="105">
        <v>2700</v>
      </c>
      <c r="D18" s="105">
        <v>2700</v>
      </c>
      <c r="E18">
        <v>2700</v>
      </c>
      <c r="G18" s="147">
        <f>' Balance akt.'!D35</f>
        <v>13943.986000000001</v>
      </c>
      <c r="H18" s="337">
        <f>B18/G18</f>
        <v>0.19363186394478593</v>
      </c>
    </row>
    <row r="19" spans="1:8" x14ac:dyDescent="0.4">
      <c r="A19" s="287" t="s">
        <v>108</v>
      </c>
      <c r="B19" s="105">
        <v>2900</v>
      </c>
      <c r="C19" s="105">
        <v>2900</v>
      </c>
      <c r="D19" s="105">
        <v>2900</v>
      </c>
      <c r="E19">
        <v>2900</v>
      </c>
      <c r="G19" s="147"/>
    </row>
    <row r="20" spans="1:8" x14ac:dyDescent="0.4">
      <c r="A20" s="287" t="s">
        <v>39</v>
      </c>
      <c r="B20" s="105">
        <v>-200</v>
      </c>
      <c r="C20" s="105">
        <v>-200</v>
      </c>
      <c r="D20" s="105">
        <v>-200</v>
      </c>
      <c r="E20">
        <v>-200</v>
      </c>
      <c r="G20" s="147"/>
    </row>
    <row r="21" spans="1:8" x14ac:dyDescent="0.4">
      <c r="A21" s="246" t="s">
        <v>464</v>
      </c>
      <c r="B21" s="105">
        <v>48</v>
      </c>
      <c r="C21" s="105">
        <v>84</v>
      </c>
      <c r="D21" s="105">
        <v>84</v>
      </c>
      <c r="E21">
        <v>84</v>
      </c>
      <c r="G21" s="147">
        <f>' Balance akt.'!D62</f>
        <v>1227.825</v>
      </c>
      <c r="H21" s="337">
        <f>B21/G21</f>
        <v>3.9093519027548713E-2</v>
      </c>
    </row>
    <row r="22" spans="1:8" x14ac:dyDescent="0.4">
      <c r="A22" s="287" t="s">
        <v>108</v>
      </c>
      <c r="B22" s="105">
        <v>64</v>
      </c>
      <c r="C22" s="105">
        <v>100</v>
      </c>
      <c r="D22" s="105">
        <v>100</v>
      </c>
      <c r="E22">
        <v>100</v>
      </c>
      <c r="G22" s="147"/>
    </row>
    <row r="23" spans="1:8" x14ac:dyDescent="0.4">
      <c r="A23" s="287" t="s">
        <v>39</v>
      </c>
      <c r="B23" s="105">
        <v>-16</v>
      </c>
      <c r="C23" s="105">
        <v>-16</v>
      </c>
      <c r="D23" s="105">
        <v>-16</v>
      </c>
      <c r="E23">
        <v>-16</v>
      </c>
      <c r="G23" s="147"/>
    </row>
    <row r="24" spans="1:8" x14ac:dyDescent="0.4">
      <c r="A24" s="246" t="s">
        <v>463</v>
      </c>
      <c r="B24" s="105">
        <v>1649</v>
      </c>
      <c r="C24" s="105">
        <v>11812</v>
      </c>
      <c r="D24" s="105">
        <v>10874</v>
      </c>
      <c r="E24">
        <v>4379</v>
      </c>
      <c r="G24" s="147">
        <f>' Balance akt.'!D80+' Balance akt.'!D98+' Balance akt.'!D107</f>
        <v>993700.375</v>
      </c>
      <c r="H24" s="337">
        <f>B24/G24</f>
        <v>1.6594539375110932E-3</v>
      </c>
    </row>
    <row r="25" spans="1:8" x14ac:dyDescent="0.4">
      <c r="A25" s="287" t="s">
        <v>108</v>
      </c>
      <c r="B25" s="105">
        <v>13431</v>
      </c>
      <c r="C25" s="105">
        <v>23581</v>
      </c>
      <c r="D25" s="105">
        <v>22643</v>
      </c>
      <c r="E25">
        <v>16148</v>
      </c>
    </row>
    <row r="26" spans="1:8" x14ac:dyDescent="0.4">
      <c r="A26" s="287" t="s">
        <v>39</v>
      </c>
      <c r="B26" s="105">
        <v>-11782</v>
      </c>
      <c r="C26" s="105">
        <v>-11769</v>
      </c>
      <c r="D26" s="105">
        <v>-11769</v>
      </c>
      <c r="E26">
        <v>-11769</v>
      </c>
    </row>
    <row r="27" spans="1:8" x14ac:dyDescent="0.4">
      <c r="A27" s="246" t="s">
        <v>191</v>
      </c>
      <c r="B27" s="105">
        <v>-27516</v>
      </c>
      <c r="C27" s="105">
        <v>-22474</v>
      </c>
      <c r="D27" s="105">
        <v>-22374</v>
      </c>
      <c r="E27">
        <v>-19249</v>
      </c>
      <c r="G27" s="147">
        <f>' Balance akt.'!D8+' Balance akt.'!D17+' Balance akt.'!D26+' Balance akt.'!D44+' Balance akt.'!D53+' Balance akt.'!D170</f>
        <v>707029.34000000008</v>
      </c>
      <c r="H27" s="337">
        <f>B27/G27</f>
        <v>-3.8917762592426498E-2</v>
      </c>
    </row>
    <row r="28" spans="1:8" x14ac:dyDescent="0.4">
      <c r="A28" s="287" t="s">
        <v>108</v>
      </c>
      <c r="B28" s="105">
        <v>8831</v>
      </c>
      <c r="C28" s="105">
        <v>9391</v>
      </c>
      <c r="D28" s="105">
        <v>9391</v>
      </c>
      <c r="E28">
        <v>9391</v>
      </c>
    </row>
    <row r="29" spans="1:8" x14ac:dyDescent="0.4">
      <c r="A29" s="287" t="s">
        <v>39</v>
      </c>
      <c r="B29" s="105">
        <v>-36347</v>
      </c>
      <c r="C29" s="105">
        <v>-31865</v>
      </c>
      <c r="D29" s="105">
        <v>-31765</v>
      </c>
      <c r="E29">
        <v>-28640</v>
      </c>
    </row>
    <row r="30" spans="1:8" x14ac:dyDescent="0.4">
      <c r="A30" s="246" t="s">
        <v>194</v>
      </c>
      <c r="B30" s="105">
        <v>-29862</v>
      </c>
      <c r="C30" s="105">
        <v>22512</v>
      </c>
      <c r="D30" s="105">
        <v>17903</v>
      </c>
      <c r="E30">
        <v>435</v>
      </c>
      <c r="G30" s="105">
        <f>G6+G9+G12+G15+G18+G21+G24+G27</f>
        <v>3240845.2469999995</v>
      </c>
      <c r="H30" s="337">
        <f>B30/G30</f>
        <v>-9.2142628617157187E-3</v>
      </c>
    </row>
    <row r="31" spans="1:8" x14ac:dyDescent="0.4">
      <c r="A31" s="287" t="s">
        <v>108</v>
      </c>
      <c r="B31" s="105">
        <v>58892</v>
      </c>
      <c r="C31" s="105">
        <v>82886</v>
      </c>
      <c r="D31" s="105">
        <v>80577</v>
      </c>
      <c r="E31">
        <v>59984</v>
      </c>
    </row>
    <row r="32" spans="1:8" x14ac:dyDescent="0.4">
      <c r="A32" s="287" t="s">
        <v>39</v>
      </c>
      <c r="B32" s="105">
        <v>-88754</v>
      </c>
      <c r="C32" s="105">
        <v>-60374</v>
      </c>
      <c r="D32" s="105">
        <v>-62674</v>
      </c>
      <c r="E32">
        <v>-59549</v>
      </c>
    </row>
  </sheetData>
  <pageMargins left="0.7" right="0.7" top="0.75" bottom="0.75" header="0.3" footer="0.3"/>
  <pageSetup paperSize="8" fitToHeight="0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 fitToPage="1"/>
  </sheetPr>
  <dimension ref="A1:T86"/>
  <sheetViews>
    <sheetView tabSelected="1" zoomScale="80" zoomScaleNormal="80" workbookViewId="0">
      <selection activeCell="K18" sqref="K18"/>
    </sheetView>
  </sheetViews>
  <sheetFormatPr defaultColWidth="8.53125" defaultRowHeight="13.15" x14ac:dyDescent="0.4"/>
  <cols>
    <col min="1" max="1" width="76.46484375" customWidth="1"/>
    <col min="2" max="2" width="17.53125" style="7" customWidth="1"/>
    <col min="3" max="3" width="16.19921875" customWidth="1"/>
    <col min="4" max="4" width="16.46484375" bestFit="1" customWidth="1"/>
    <col min="5" max="5" width="14.46484375" customWidth="1"/>
    <col min="6" max="6" width="21" bestFit="1" customWidth="1"/>
    <col min="7" max="7" width="4.46484375" customWidth="1"/>
    <col min="8" max="12" width="3.46484375" customWidth="1"/>
    <col min="13" max="13" width="3" customWidth="1"/>
    <col min="14" max="14" width="68.46484375" customWidth="1"/>
    <col min="15" max="15" width="19.46484375" customWidth="1"/>
    <col min="16" max="16" width="16.46484375" customWidth="1"/>
    <col min="17" max="17" width="14.46484375" customWidth="1"/>
    <col min="18" max="18" width="16.46484375" customWidth="1"/>
    <col min="19" max="19" width="17.53125" customWidth="1"/>
    <col min="20" max="20" width="14.46484375" customWidth="1"/>
    <col min="21" max="21" width="8.53125" customWidth="1"/>
  </cols>
  <sheetData>
    <row r="1" spans="1:18" ht="24.75" customHeight="1" x14ac:dyDescent="0.6">
      <c r="A1" s="40" t="s">
        <v>325</v>
      </c>
      <c r="B1" s="40"/>
      <c r="C1" s="40"/>
      <c r="D1" s="40"/>
      <c r="E1" s="40"/>
      <c r="F1" s="40"/>
    </row>
    <row r="2" spans="1:18" ht="21" customHeight="1" thickBot="1" x14ac:dyDescent="0.55000000000000004">
      <c r="D2" s="74"/>
    </row>
    <row r="3" spans="1:18" ht="18" thickBot="1" x14ac:dyDescent="0.55000000000000004">
      <c r="A3" s="45" t="s">
        <v>21</v>
      </c>
      <c r="B3" s="46">
        <v>2026</v>
      </c>
      <c r="C3" s="46">
        <f>B3+1</f>
        <v>2027</v>
      </c>
      <c r="D3" s="47">
        <f>C3+1</f>
        <v>2028</v>
      </c>
      <c r="E3" s="47">
        <f>D3+1</f>
        <v>2029</v>
      </c>
      <c r="F3" s="48">
        <f>E3+1</f>
        <v>2030</v>
      </c>
      <c r="G3" s="74"/>
    </row>
    <row r="4" spans="1:18" ht="36.75" customHeight="1" thickBot="1" x14ac:dyDescent="0.5">
      <c r="A4" s="49"/>
      <c r="B4" s="138" t="s">
        <v>104</v>
      </c>
      <c r="C4" s="139" t="s">
        <v>18</v>
      </c>
      <c r="D4" s="140" t="s">
        <v>120</v>
      </c>
      <c r="E4" s="140" t="s">
        <v>18</v>
      </c>
      <c r="F4" s="141" t="s">
        <v>18</v>
      </c>
      <c r="I4">
        <v>27</v>
      </c>
      <c r="J4">
        <v>28</v>
      </c>
      <c r="K4">
        <v>29</v>
      </c>
      <c r="L4">
        <v>30</v>
      </c>
    </row>
    <row r="5" spans="1:18" ht="17.649999999999999" x14ac:dyDescent="0.5">
      <c r="A5" s="50" t="s">
        <v>0</v>
      </c>
      <c r="B5" s="51"/>
      <c r="C5" s="142"/>
      <c r="D5" s="143"/>
      <c r="E5" s="143"/>
      <c r="F5" s="144"/>
      <c r="M5" s="125"/>
      <c r="N5" t="s">
        <v>182</v>
      </c>
    </row>
    <row r="6" spans="1:18" ht="17.649999999999999" x14ac:dyDescent="0.5">
      <c r="A6" s="52" t="s">
        <v>1</v>
      </c>
      <c r="B6" s="137">
        <f>'Vedtaget budget i 2026'!B10</f>
        <v>-4299.018</v>
      </c>
      <c r="C6" s="187">
        <f>'Vedtaget budget i 2026'!C10+'Ændringer til vedtaget budget'!C16</f>
        <v>-4691.2910000000002</v>
      </c>
      <c r="D6" s="188">
        <f>'Vedtaget budget i 2026'!D10+'Ændringer til vedtaget budget'!D16</f>
        <v>-4751.4890000000005</v>
      </c>
      <c r="E6" s="188">
        <f>'Vedtaget budget i 2026'!E10+'Ændringer til vedtaget budget'!E16</f>
        <v>-4838.3810000000003</v>
      </c>
      <c r="F6" s="186">
        <f>'Vedtaget budget i 2026'!F10+'Ændringer til vedtaget budget'!F16</f>
        <v>-5052.4030000000002</v>
      </c>
      <c r="H6" s="18"/>
      <c r="I6" s="18"/>
      <c r="J6" s="18"/>
      <c r="K6" s="18"/>
      <c r="L6" s="18"/>
    </row>
    <row r="7" spans="1:18" ht="17.649999999999999" x14ac:dyDescent="0.5">
      <c r="A7" s="52" t="s">
        <v>264</v>
      </c>
      <c r="B7" s="137">
        <f>'Vedtaget budget i 2026'!B11</f>
        <v>0</v>
      </c>
      <c r="C7" s="187">
        <f>SUM('Vedtaget budget i 2026'!C11+'Ændringer til vedtaget budget'!C17)</f>
        <v>0</v>
      </c>
      <c r="D7" s="188">
        <f>SUM('Vedtaget budget i 2026'!D11+'Ændringer til vedtaget budget'!D17)</f>
        <v>0</v>
      </c>
      <c r="E7" s="188">
        <f>SUM('Vedtaget budget i 2026'!E11+'Ændringer til vedtaget budget'!E17)</f>
        <v>0</v>
      </c>
      <c r="F7" s="186">
        <f>SUM('Vedtaget budget i 2026'!F11+'Ændringer til vedtaget budget'!F17)</f>
        <v>0</v>
      </c>
      <c r="H7" s="18"/>
      <c r="I7" s="18"/>
      <c r="J7" s="18"/>
      <c r="K7" s="18"/>
      <c r="L7" s="18"/>
      <c r="N7" s="28"/>
    </row>
    <row r="8" spans="1:18" ht="17.649999999999999" x14ac:dyDescent="0.5">
      <c r="A8" s="52" t="s">
        <v>2</v>
      </c>
      <c r="B8" s="137">
        <f>'Vedtaget budget i 2026'!B12</f>
        <v>-153.11599999999999</v>
      </c>
      <c r="C8" s="187">
        <f>'Vedtaget budget i 2026'!C12+'Ændringer til vedtaget budget'!C18</f>
        <v>302.58199999999999</v>
      </c>
      <c r="D8" s="188">
        <f>'Vedtaget budget i 2026'!D12+'Ændringer til vedtaget budget'!D18</f>
        <v>351.09</v>
      </c>
      <c r="E8" s="188">
        <f>'Vedtaget budget i 2026'!E12+'Ændringer til vedtaget budget'!E18</f>
        <v>317.14099999999996</v>
      </c>
      <c r="F8" s="186">
        <f>'Vedtaget budget i 2026'!F12+'Ændringer til vedtaget budget'!F18</f>
        <v>371.49399999999997</v>
      </c>
      <c r="H8" s="28"/>
      <c r="I8" s="28"/>
      <c r="J8" s="28"/>
      <c r="K8" s="28"/>
      <c r="L8" s="28"/>
      <c r="N8" s="73"/>
    </row>
    <row r="9" spans="1:18" ht="17.649999999999999" x14ac:dyDescent="0.5">
      <c r="A9" s="52" t="s">
        <v>3</v>
      </c>
      <c r="B9" s="137">
        <f>'Vedtaget budget i 2026'!B13</f>
        <v>4225.0810000000001</v>
      </c>
      <c r="C9" s="187">
        <f>'Vedtaget budget i 2026'!C13+'Ændringer til vedtaget budget'!C8+'Ændringer til vedtaget budget'!C9+'Ændringer til vedtaget budget'!C10+'Ændringer til vedtaget budget'!C11</f>
        <v>3987.9839999999999</v>
      </c>
      <c r="D9" s="188">
        <f>'Vedtaget budget i 2026'!D13+'Ændringer til vedtaget budget'!D8+'Ændringer til vedtaget budget'!D9+'Ændringer til vedtaget budget'!D10+'Ændringer til vedtaget budget'!D11-0.001</f>
        <v>4053.4250000000006</v>
      </c>
      <c r="E9" s="188">
        <f>'Vedtaget budget i 2026'!E13+'Ændringer til vedtaget budget'!E8+'Ændringer til vedtaget budget'!E9+'Ændringer til vedtaget budget'!E10+'Ændringer til vedtaget budget'!E11</f>
        <v>4066.5879999999997</v>
      </c>
      <c r="F9" s="186">
        <f>'Vedtaget budget i 2026'!F13+'Ændringer til vedtaget budget'!F8+'Ændringer til vedtaget budget'!F9+'Ændringer til vedtaget budget'!F10+'Ændringer til vedtaget budget'!F11</f>
        <v>4060.1959999999999</v>
      </c>
      <c r="H9" s="123"/>
      <c r="I9" s="123"/>
      <c r="J9" s="123"/>
      <c r="K9" s="123"/>
      <c r="L9" s="123"/>
      <c r="N9" s="103"/>
    </row>
    <row r="10" spans="1:18" s="28" customFormat="1" ht="18" thickBot="1" x14ac:dyDescent="0.55000000000000004">
      <c r="A10" s="52" t="s">
        <v>4</v>
      </c>
      <c r="B10" s="55">
        <f>'Vedtaget budget i 2026'!B14</f>
        <v>-2.141</v>
      </c>
      <c r="C10" s="189">
        <f>'Vedtaget budget i 2026'!C14+'Ændringer til vedtaget budget'!C21</f>
        <v>-5.6459999999999999</v>
      </c>
      <c r="D10" s="190">
        <f>'Vedtaget budget i 2026'!D14+'Ændringer til vedtaget budget'!D21</f>
        <v>-5.5960000000000001</v>
      </c>
      <c r="E10" s="190">
        <f>'Vedtaget budget i 2026'!E14+'Ændringer til vedtaget budget'!E21</f>
        <v>-5.5460000000000003</v>
      </c>
      <c r="F10" s="191">
        <f>'Vedtaget budget i 2026'!F14+'Ændringer til vedtaget budget'!F21</f>
        <v>-5.5460000000000003</v>
      </c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</row>
    <row r="11" spans="1:18" ht="18" thickBot="1" x14ac:dyDescent="0.55000000000000004">
      <c r="A11" s="54" t="s">
        <v>5</v>
      </c>
      <c r="B11" s="260">
        <f>'Vedtaget budget i 2026'!B15</f>
        <v>-229.19399999999987</v>
      </c>
      <c r="C11" s="198">
        <f>SUM(C6:C10)</f>
        <v>-406.37099999999992</v>
      </c>
      <c r="D11" s="213">
        <f>SUM(D6:D10)</f>
        <v>-352.56999999999971</v>
      </c>
      <c r="E11" s="213">
        <f>SUM(E6:E10)</f>
        <v>-460.19800000000095</v>
      </c>
      <c r="F11" s="214">
        <f>SUM(F6:F10)</f>
        <v>-626.2590000000007</v>
      </c>
      <c r="G11" s="149"/>
      <c r="H11" s="585"/>
      <c r="I11" s="586">
        <f>C11</f>
        <v>-406.37099999999992</v>
      </c>
      <c r="J11" s="586">
        <f>D11</f>
        <v>-352.56999999999971</v>
      </c>
      <c r="K11" s="586">
        <f>E11</f>
        <v>-460.19800000000095</v>
      </c>
      <c r="L11" s="586">
        <f>F11</f>
        <v>-626.2590000000007</v>
      </c>
      <c r="N11" s="204" t="s">
        <v>123</v>
      </c>
    </row>
    <row r="12" spans="1:18" ht="17.649999999999999" x14ac:dyDescent="0.5">
      <c r="A12" s="52" t="s">
        <v>156</v>
      </c>
      <c r="B12" s="59">
        <f>'Vedtaget budget i 2026'!B16</f>
        <v>313.31299999999999</v>
      </c>
      <c r="C12" s="188">
        <f>'Ændringer til vedtaget budget'!C12+'Ændringer til vedtaget budget'!C14-C15</f>
        <v>189.20318500000002</v>
      </c>
      <c r="D12" s="188">
        <f>'Ændringer til vedtaget budget'!D12+'Ændringer til vedtaget budget'!D14-D15</f>
        <v>705.58901900000001</v>
      </c>
      <c r="E12" s="188">
        <f>'Ændringer til vedtaget budget'!E12+'Ændringer til vedtaget budget'!E14-E15</f>
        <v>313.55263200000002</v>
      </c>
      <c r="F12" s="186">
        <f>'Ændringer til vedtaget budget'!F12+'Ændringer til vedtaget budget'!F14-F15</f>
        <v>230.316799</v>
      </c>
      <c r="G12" s="149"/>
      <c r="H12" s="587"/>
      <c r="I12" s="586">
        <f>C12</f>
        <v>189.20318500000002</v>
      </c>
      <c r="J12" s="586"/>
      <c r="K12" s="586"/>
      <c r="L12" s="586"/>
      <c r="N12" s="212" t="s">
        <v>780</v>
      </c>
    </row>
    <row r="13" spans="1:18" ht="18" thickBot="1" x14ac:dyDescent="0.55000000000000004">
      <c r="A13" s="52" t="s">
        <v>169</v>
      </c>
      <c r="B13" s="53"/>
      <c r="C13" s="189">
        <f>'Ændringer til vedtaget budget'!C13+'Ændringer til vedtaget budget'!C15</f>
        <v>-11.700000000000001</v>
      </c>
      <c r="D13" s="190">
        <f>'Ændringer til vedtaget budget'!D13+'Ændringer til vedtaget budget'!D15</f>
        <v>-9.0449999999999999</v>
      </c>
      <c r="E13" s="190">
        <f>'Ændringer til vedtaget budget'!E13+'Ændringer til vedtaget budget'!E15</f>
        <v>-10.645</v>
      </c>
      <c r="F13" s="191">
        <f>'Ændringer til vedtaget budget'!F13+'Ændringer til vedtaget budget'!F15</f>
        <v>0</v>
      </c>
      <c r="G13" s="149"/>
      <c r="H13" s="587"/>
      <c r="I13" s="586"/>
      <c r="J13" s="586"/>
      <c r="K13" s="586"/>
      <c r="L13" s="586"/>
      <c r="N13" s="212"/>
    </row>
    <row r="14" spans="1:18" ht="18" thickBot="1" x14ac:dyDescent="0.55000000000000004">
      <c r="A14" s="56" t="s">
        <v>6</v>
      </c>
      <c r="B14" s="260">
        <f>'Vedtaget budget i 2026'!B18+'Budgetforslag 2027-2030'!O19</f>
        <v>84.119000000000113</v>
      </c>
      <c r="C14" s="198">
        <f>SUM(C11:C13)</f>
        <v>-228.86781499999989</v>
      </c>
      <c r="D14" s="213">
        <f>SUM(D11:D13)</f>
        <v>343.97401900000028</v>
      </c>
      <c r="E14" s="213">
        <f>SUM(E11:E13)</f>
        <v>-157.29036800000094</v>
      </c>
      <c r="F14" s="214">
        <f>SUM(F11:F13)</f>
        <v>-395.94220100000069</v>
      </c>
      <c r="G14" s="149"/>
      <c r="H14" s="587"/>
      <c r="I14" s="586"/>
      <c r="J14" s="586"/>
      <c r="K14" s="586"/>
      <c r="L14" s="586"/>
      <c r="N14" s="212"/>
    </row>
    <row r="15" spans="1:18" ht="17.649999999999999" x14ac:dyDescent="0.5">
      <c r="A15" s="259" t="s">
        <v>152</v>
      </c>
      <c r="B15" s="590"/>
      <c r="C15" s="196">
        <v>0</v>
      </c>
      <c r="D15" s="196">
        <v>0</v>
      </c>
      <c r="E15" s="196">
        <v>0</v>
      </c>
      <c r="F15" s="197">
        <v>0</v>
      </c>
      <c r="H15" s="587"/>
      <c r="I15" s="587"/>
      <c r="J15" s="587"/>
      <c r="K15" s="587"/>
      <c r="L15" s="587"/>
    </row>
    <row r="16" spans="1:18" ht="18" thickBot="1" x14ac:dyDescent="0.55000000000000004">
      <c r="A16" s="56" t="s">
        <v>170</v>
      </c>
      <c r="B16" s="591"/>
      <c r="C16" s="193">
        <f>SUM(C15)</f>
        <v>0</v>
      </c>
      <c r="D16" s="193">
        <f>SUM(D15)</f>
        <v>0</v>
      </c>
      <c r="E16" s="193">
        <f>SUM(E15)</f>
        <v>0</v>
      </c>
      <c r="F16" s="194">
        <f>SUM(F15)</f>
        <v>0</v>
      </c>
      <c r="G16" s="103"/>
      <c r="H16" s="587"/>
      <c r="I16" s="587"/>
      <c r="J16" s="587"/>
      <c r="K16" s="587"/>
      <c r="L16" s="587"/>
      <c r="N16" s="92"/>
    </row>
    <row r="17" spans="1:20" ht="17.649999999999999" x14ac:dyDescent="0.5">
      <c r="A17" s="474" t="s">
        <v>126</v>
      </c>
      <c r="B17" s="713"/>
      <c r="C17" s="511"/>
      <c r="D17" s="196">
        <f>(D50+D51+D57)*D63</f>
        <v>-1.6579418459999975</v>
      </c>
      <c r="E17" s="196">
        <f>(E50+E51+E57)*E63</f>
        <v>-4.4163898091679927</v>
      </c>
      <c r="F17" s="197">
        <f>(F50+F51+F57)*F63</f>
        <v>-8.3777782262147085</v>
      </c>
      <c r="G17" s="146"/>
      <c r="H17" s="587"/>
      <c r="I17" s="587"/>
      <c r="J17" s="587"/>
      <c r="K17" s="587"/>
      <c r="L17" s="587"/>
    </row>
    <row r="18" spans="1:20" ht="17.649999999999999" x14ac:dyDescent="0.5">
      <c r="A18" s="52" t="s">
        <v>153</v>
      </c>
      <c r="B18" s="57"/>
      <c r="C18" s="199"/>
      <c r="D18" s="188">
        <f>D59*D64</f>
        <v>2.3253823492560013</v>
      </c>
      <c r="E18" s="188">
        <f>E59*E64</f>
        <v>2.988515339619267</v>
      </c>
      <c r="F18" s="186">
        <f>F59*F64</f>
        <v>2.3286427249504338</v>
      </c>
      <c r="G18" s="146"/>
      <c r="H18" s="587"/>
      <c r="I18" s="587"/>
      <c r="J18" s="587"/>
      <c r="K18" s="587"/>
      <c r="L18" s="587"/>
      <c r="N18" s="92"/>
    </row>
    <row r="19" spans="1:20" ht="18" thickBot="1" x14ac:dyDescent="0.55000000000000004">
      <c r="A19" s="714" t="s">
        <v>30</v>
      </c>
      <c r="B19" s="55">
        <f>'Vedtaget budget i 2026'!B20</f>
        <v>0</v>
      </c>
      <c r="C19" s="192">
        <f>'Vedtaget budget i 2026'!C20+'Ændringer til vedtaget budget'!C7</f>
        <v>0</v>
      </c>
      <c r="D19" s="193">
        <f>prisfremskrivning!F39</f>
        <v>119.622</v>
      </c>
      <c r="E19" s="193">
        <f>prisfremskrivning!G39</f>
        <v>250.26499999999999</v>
      </c>
      <c r="F19" s="194">
        <f>prisfremskrivning!H39</f>
        <v>389.25</v>
      </c>
      <c r="H19" s="587"/>
      <c r="I19" s="587"/>
      <c r="J19" s="587"/>
      <c r="K19" s="587"/>
      <c r="L19" s="587"/>
      <c r="N19" s="73"/>
      <c r="O19" s="273"/>
    </row>
    <row r="20" spans="1:20" ht="18" thickBot="1" x14ac:dyDescent="0.55000000000000004">
      <c r="A20" s="54" t="s">
        <v>172</v>
      </c>
      <c r="B20" s="260">
        <f>'Vedtaget budget i 2026'!B21</f>
        <v>84.119000000000113</v>
      </c>
      <c r="C20" s="213">
        <f>C14+C19</f>
        <v>-228.86781499999989</v>
      </c>
      <c r="D20" s="213">
        <f>D14+D19+D18+D17</f>
        <v>464.26345950325634</v>
      </c>
      <c r="E20" s="213">
        <f>E14+E19+E18+E17</f>
        <v>91.546757530450321</v>
      </c>
      <c r="F20" s="194">
        <f>F14+F19+F18+F17</f>
        <v>-12.741336501264968</v>
      </c>
      <c r="G20" s="148"/>
      <c r="H20" s="587"/>
      <c r="I20" s="586">
        <f>C20</f>
        <v>-228.86781499999989</v>
      </c>
      <c r="J20" s="586">
        <f>D20</f>
        <v>464.26345950325634</v>
      </c>
      <c r="K20" s="586">
        <f>E20</f>
        <v>91.546757530450321</v>
      </c>
      <c r="L20" s="586">
        <f>F20</f>
        <v>-12.741336501264968</v>
      </c>
      <c r="N20" s="105" t="s">
        <v>122</v>
      </c>
      <c r="O20" s="262"/>
    </row>
    <row r="21" spans="1:20" ht="18" thickBot="1" x14ac:dyDescent="0.55000000000000004">
      <c r="A21" s="200" t="s">
        <v>155</v>
      </c>
      <c r="B21" s="201"/>
      <c r="C21" s="196"/>
      <c r="D21" s="196"/>
      <c r="E21" s="196"/>
      <c r="F21" s="196"/>
      <c r="H21" s="587"/>
      <c r="I21" s="587"/>
      <c r="J21" s="587"/>
      <c r="K21" s="587"/>
      <c r="L21" s="587"/>
      <c r="N21" s="183"/>
      <c r="O21" s="41"/>
    </row>
    <row r="22" spans="1:20" ht="17.649999999999999" x14ac:dyDescent="0.5">
      <c r="A22" s="58" t="s">
        <v>8</v>
      </c>
      <c r="B22" s="59"/>
      <c r="C22" s="195"/>
      <c r="D22" s="196"/>
      <c r="E22" s="196"/>
      <c r="F22" s="197"/>
      <c r="H22" s="587"/>
      <c r="I22" s="587"/>
      <c r="J22" s="587"/>
      <c r="K22" s="587"/>
      <c r="L22" s="587"/>
      <c r="N22" s="184"/>
      <c r="O22" s="41"/>
    </row>
    <row r="23" spans="1:20" ht="17.649999999999999" x14ac:dyDescent="0.5">
      <c r="A23" s="52" t="s">
        <v>171</v>
      </c>
      <c r="B23" s="53">
        <f>'Vedtaget budget i 2026'!B24+'Budgetforslag 2027-2030'!O23</f>
        <v>84.119000000000113</v>
      </c>
      <c r="C23" s="187">
        <f>C20+C15</f>
        <v>-228.86781499999989</v>
      </c>
      <c r="D23" s="188">
        <f>D20+D15</f>
        <v>464.26345950325634</v>
      </c>
      <c r="E23" s="188">
        <f>E20+E15</f>
        <v>91.546757530450321</v>
      </c>
      <c r="F23" s="186">
        <f>F20+F15</f>
        <v>-12.741336501264968</v>
      </c>
      <c r="H23" s="587"/>
      <c r="I23" s="587"/>
      <c r="J23" s="587"/>
      <c r="K23" s="587"/>
      <c r="L23" s="587"/>
      <c r="N23" s="185"/>
      <c r="O23" s="41"/>
    </row>
    <row r="24" spans="1:20" ht="17.649999999999999" x14ac:dyDescent="0.5">
      <c r="A24" s="52" t="s">
        <v>10</v>
      </c>
      <c r="B24" s="53">
        <f>'Vedtaget budget i 2026'!B25+'Budgetforslag 2027-2030'!O24</f>
        <v>-29.225999999999999</v>
      </c>
      <c r="C24" s="187">
        <f>'Vedtaget budget i 2026'!C25+'Ændringer til vedtaget budget'!C19</f>
        <v>-2.5999999999999996</v>
      </c>
      <c r="D24" s="188">
        <f>'Vedtaget budget i 2026'!D25+'Ændringer til vedtaget budget'!D19</f>
        <v>-27.447000000000003</v>
      </c>
      <c r="E24" s="188">
        <f>'Vedtaget budget i 2026'!E25+'Ændringer til vedtaget budget'!E19</f>
        <v>-15.024000000000001</v>
      </c>
      <c r="F24" s="186">
        <f>'Vedtaget budget i 2026'!F25+'Ændringer til vedtaget budget'!F19</f>
        <v>-15.025</v>
      </c>
      <c r="G24" s="180"/>
      <c r="H24" s="588"/>
      <c r="I24" s="589">
        <f>+C25+C24</f>
        <v>31.681999999999995</v>
      </c>
      <c r="J24" s="589">
        <f>+D25+D24</f>
        <v>7.2849999999999966</v>
      </c>
      <c r="K24" s="589">
        <f>+E25+E24</f>
        <v>20.460999999999999</v>
      </c>
      <c r="L24" s="589">
        <f>+F25+F24</f>
        <v>20.726999999999997</v>
      </c>
      <c r="N24" s="105" t="s">
        <v>124</v>
      </c>
      <c r="O24" s="41"/>
    </row>
    <row r="25" spans="1:20" s="28" customFormat="1" ht="17.649999999999999" x14ac:dyDescent="0.5">
      <c r="A25" s="52" t="s">
        <v>11</v>
      </c>
      <c r="B25" s="53">
        <f>'Vedtaget budget i 2026'!B26+'Budgetforslag 2027-2030'!O25</f>
        <v>35.369</v>
      </c>
      <c r="C25" s="187">
        <f>'Vedtaget budget i 2026'!C26+'Ændringer til vedtaget budget'!C20</f>
        <v>34.281999999999996</v>
      </c>
      <c r="D25" s="188">
        <f>'Vedtaget budget i 2026'!D26+'Ændringer til vedtaget budget'!D20</f>
        <v>34.731999999999999</v>
      </c>
      <c r="E25" s="188">
        <f>'Vedtaget budget i 2026'!E26+'Ændringer til vedtaget budget'!E20</f>
        <v>35.484999999999999</v>
      </c>
      <c r="F25" s="186">
        <f>'Vedtaget budget i 2026'!F26+'Ændringer til vedtaget budget'!F20</f>
        <v>35.751999999999995</v>
      </c>
      <c r="H25" s="587"/>
      <c r="I25" s="587"/>
      <c r="J25" s="587"/>
      <c r="K25" s="587"/>
      <c r="L25" s="587"/>
      <c r="N25" s="204"/>
      <c r="O25" s="41"/>
      <c r="P25"/>
      <c r="Q25"/>
      <c r="R25"/>
      <c r="S25"/>
      <c r="T25"/>
    </row>
    <row r="26" spans="1:20" ht="18" thickBot="1" x14ac:dyDescent="0.55000000000000004">
      <c r="A26" s="52" t="s">
        <v>12</v>
      </c>
      <c r="B26" s="55">
        <f>'Vedtaget budget i 2026'!B27</f>
        <v>57.884999999999998</v>
      </c>
      <c r="C26" s="190">
        <f>'Vedtaget budget i 2026'!C27+'Ændringer til vedtaget budget'!C22</f>
        <v>-12.712999999999999</v>
      </c>
      <c r="D26" s="190">
        <f>'Vedtaget budget i 2026'!D27+'Ændringer til vedtaget budget'!D22</f>
        <v>-12.943000000000001</v>
      </c>
      <c r="E26" s="190">
        <f>'Vedtaget budget i 2026'!E27+'Ændringer til vedtaget budget'!E22</f>
        <v>-10.409000000000001</v>
      </c>
      <c r="F26" s="191">
        <f>'Vedtaget budget i 2026'!F27+'Ændringer til vedtaget budget'!F22</f>
        <v>-6.6289999999999996</v>
      </c>
      <c r="H26" s="587"/>
      <c r="I26" s="587"/>
      <c r="J26" s="587"/>
      <c r="K26" s="587"/>
      <c r="L26" s="587"/>
      <c r="N26" s="185"/>
      <c r="O26" s="41"/>
    </row>
    <row r="27" spans="1:20" s="124" customFormat="1" ht="59.1" customHeight="1" thickBot="1" x14ac:dyDescent="0.55000000000000004">
      <c r="A27" s="215" t="s">
        <v>147</v>
      </c>
      <c r="B27" s="773">
        <f>'Vedtaget budget i 2026'!B28</f>
        <v>148.14700000000011</v>
      </c>
      <c r="C27" s="206">
        <f>SUM(C23:C26)</f>
        <v>-209.89881499999987</v>
      </c>
      <c r="D27" s="207">
        <f>SUM(D23:D26)</f>
        <v>458.60545950325638</v>
      </c>
      <c r="E27" s="207">
        <f>SUM(E23:E26)</f>
        <v>101.59875753045031</v>
      </c>
      <c r="F27" s="208">
        <f>SUM(F23:F26)</f>
        <v>1.3566634987350294</v>
      </c>
      <c r="G27"/>
      <c r="H27" s="587"/>
      <c r="I27" s="587"/>
      <c r="J27" s="587"/>
      <c r="K27" s="587"/>
      <c r="L27" s="587"/>
      <c r="M27"/>
      <c r="N27" s="205"/>
      <c r="O27" s="41"/>
      <c r="P27"/>
      <c r="Q27"/>
      <c r="R27"/>
      <c r="S27"/>
      <c r="T27"/>
    </row>
    <row r="28" spans="1:20" ht="17.25" x14ac:dyDescent="0.45">
      <c r="A28" s="23" t="s">
        <v>68</v>
      </c>
      <c r="B28" s="23"/>
      <c r="C28" s="23"/>
      <c r="D28" s="23"/>
      <c r="E28" s="23"/>
      <c r="F28" s="23"/>
      <c r="N28" s="73"/>
      <c r="O28" s="41"/>
    </row>
    <row r="29" spans="1:20" ht="17.649999999999999" thickBot="1" x14ac:dyDescent="0.5">
      <c r="A29" s="23"/>
      <c r="B29" s="23"/>
      <c r="C29" s="23"/>
      <c r="D29" s="23"/>
      <c r="E29" s="23"/>
      <c r="F29" s="23"/>
      <c r="N29" s="73"/>
      <c r="O29" s="41"/>
    </row>
    <row r="30" spans="1:20" s="136" customFormat="1" ht="26.25" x14ac:dyDescent="0.45">
      <c r="A30" s="646"/>
      <c r="B30" s="647" t="s">
        <v>838</v>
      </c>
      <c r="C30" s="647" t="s">
        <v>839</v>
      </c>
      <c r="D30" s="647" t="s">
        <v>247</v>
      </c>
      <c r="E30" s="647" t="s">
        <v>319</v>
      </c>
      <c r="F30" s="648" t="s">
        <v>840</v>
      </c>
      <c r="N30" s="649"/>
      <c r="O30" s="692"/>
      <c r="P30"/>
      <c r="Q30"/>
      <c r="R30"/>
      <c r="S30"/>
    </row>
    <row r="31" spans="1:20" ht="18" thickBot="1" x14ac:dyDescent="0.55000000000000004">
      <c r="A31" s="857" t="s">
        <v>781</v>
      </c>
      <c r="B31" s="250">
        <f>608.406-B27-B34</f>
        <v>458.95899999999983</v>
      </c>
      <c r="C31" s="251">
        <f>B31-C27</f>
        <v>668.85781499999973</v>
      </c>
      <c r="D31" s="251">
        <f t="shared" ref="D31:F31" si="0">C31-D27</f>
        <v>210.25235549674335</v>
      </c>
      <c r="E31" s="251">
        <f t="shared" si="0"/>
        <v>108.65359796629303</v>
      </c>
      <c r="F31" s="858">
        <f t="shared" si="0"/>
        <v>107.296934467558</v>
      </c>
      <c r="I31" s="586">
        <f>C31</f>
        <v>668.85781499999973</v>
      </c>
      <c r="J31" s="586">
        <f>D31</f>
        <v>210.25235549674335</v>
      </c>
      <c r="K31" s="586">
        <f>E31</f>
        <v>108.65359796629303</v>
      </c>
      <c r="L31" s="586">
        <f>F31</f>
        <v>107.296934467558</v>
      </c>
      <c r="N31" s="105" t="s">
        <v>125</v>
      </c>
      <c r="O31" s="41"/>
    </row>
    <row r="32" spans="1:20" ht="17.25" x14ac:dyDescent="0.45">
      <c r="A32" s="23" t="s">
        <v>225</v>
      </c>
      <c r="B32" s="28"/>
      <c r="C32" s="145"/>
      <c r="D32" s="145"/>
      <c r="E32" s="145"/>
      <c r="F32" s="145"/>
      <c r="N32" s="73"/>
      <c r="O32" s="41"/>
      <c r="P32" s="41"/>
      <c r="Q32" s="41"/>
      <c r="R32" s="41"/>
      <c r="S32" s="61"/>
    </row>
    <row r="33" spans="1:19" ht="17.25" x14ac:dyDescent="0.45">
      <c r="A33" s="23"/>
      <c r="B33" s="28"/>
      <c r="C33" s="145"/>
      <c r="D33" s="145"/>
      <c r="E33" s="145"/>
      <c r="F33" s="145"/>
      <c r="N33" s="73"/>
      <c r="O33" s="41"/>
      <c r="P33" s="41"/>
      <c r="Q33" s="41"/>
      <c r="R33" s="41"/>
      <c r="S33" s="61"/>
    </row>
    <row r="34" spans="1:19" ht="17.25" x14ac:dyDescent="0.45">
      <c r="A34" s="853" t="s">
        <v>1025</v>
      </c>
      <c r="B34" s="148">
        <f>IF(Finansieringsforslag!N137="x",-Finansieringsforslag!H137,0)/1000</f>
        <v>1.3</v>
      </c>
      <c r="C34" s="145"/>
      <c r="D34" s="145"/>
      <c r="E34" s="145"/>
      <c r="N34" s="73"/>
      <c r="O34" s="41"/>
      <c r="P34" s="41"/>
      <c r="Q34" s="41"/>
      <c r="R34" s="41"/>
      <c r="S34" s="61"/>
    </row>
    <row r="35" spans="1:19" ht="17.25" x14ac:dyDescent="0.45">
      <c r="A35" s="23"/>
      <c r="B35"/>
      <c r="C35" s="145"/>
      <c r="D35" s="145"/>
      <c r="E35" s="145"/>
      <c r="F35" s="145"/>
      <c r="N35" s="73"/>
    </row>
    <row r="36" spans="1:19" thickBot="1" x14ac:dyDescent="0.4">
      <c r="B36"/>
      <c r="H36" s="103"/>
      <c r="I36" s="103"/>
      <c r="J36" s="145"/>
      <c r="K36" s="103"/>
      <c r="L36" s="103"/>
    </row>
    <row r="37" spans="1:19" ht="17.649999999999999" x14ac:dyDescent="0.5">
      <c r="A37" s="58" t="s">
        <v>15</v>
      </c>
      <c r="B37" s="474"/>
      <c r="C37" s="474"/>
      <c r="D37" s="126"/>
      <c r="E37" s="126"/>
      <c r="F37" s="127"/>
      <c r="H37" s="103"/>
      <c r="I37" s="103"/>
      <c r="J37" s="103"/>
      <c r="K37" s="103"/>
      <c r="L37" s="103"/>
    </row>
    <row r="38" spans="1:19" ht="17.25" x14ac:dyDescent="0.45">
      <c r="A38" s="52" t="s">
        <v>16</v>
      </c>
      <c r="B38" s="636">
        <v>25.6</v>
      </c>
      <c r="C38" s="636">
        <v>25.6</v>
      </c>
      <c r="D38" s="637">
        <v>25.6</v>
      </c>
      <c r="E38" s="637">
        <v>25.6</v>
      </c>
      <c r="F38" s="638">
        <v>25.6</v>
      </c>
    </row>
    <row r="39" spans="1:19" ht="17.25" x14ac:dyDescent="0.45">
      <c r="A39" s="52" t="s">
        <v>243</v>
      </c>
      <c r="B39" s="636">
        <v>5.85</v>
      </c>
      <c r="C39" s="636">
        <v>5.85</v>
      </c>
      <c r="D39" s="637">
        <v>5.85</v>
      </c>
      <c r="E39" s="637">
        <v>5.85</v>
      </c>
      <c r="F39" s="638">
        <v>5.85</v>
      </c>
    </row>
    <row r="40" spans="1:19" ht="17.25" x14ac:dyDescent="0.45">
      <c r="A40" s="52" t="s">
        <v>244</v>
      </c>
      <c r="B40" s="636">
        <v>6.6</v>
      </c>
      <c r="C40" s="636">
        <v>6.6</v>
      </c>
      <c r="D40" s="637">
        <v>6.6</v>
      </c>
      <c r="E40" s="637">
        <v>6.6</v>
      </c>
      <c r="F40" s="638">
        <v>6.6</v>
      </c>
    </row>
    <row r="41" spans="1:19" ht="17.25" x14ac:dyDescent="0.45">
      <c r="A41" s="128" t="s">
        <v>70</v>
      </c>
      <c r="B41" s="678">
        <f>'Vedtaget budget i 2026'!B35</f>
        <v>635.42499999999995</v>
      </c>
      <c r="C41" s="678">
        <f>B41-C24-C25</f>
        <v>603.74299999999994</v>
      </c>
      <c r="D41" s="679">
        <f>C41-D24-D25</f>
        <v>596.45799999999997</v>
      </c>
      <c r="E41" s="679">
        <f>D41-E24-E25</f>
        <v>575.99699999999996</v>
      </c>
      <c r="F41" s="680">
        <f>E41-F24-F25</f>
        <v>555.27</v>
      </c>
      <c r="H41" s="145"/>
      <c r="I41" s="145"/>
      <c r="J41" s="145"/>
      <c r="K41" s="145"/>
      <c r="L41" s="145"/>
      <c r="N41" s="148"/>
    </row>
    <row r="42" spans="1:19" ht="17.649999999999999" thickBot="1" x14ac:dyDescent="0.5">
      <c r="A42" s="444" t="s">
        <v>232</v>
      </c>
      <c r="B42" s="682">
        <v>3090.8560000000002</v>
      </c>
      <c r="C42" s="682">
        <v>3189.65</v>
      </c>
      <c r="D42" s="730">
        <f>C42*(1+C63)</f>
        <v>3275.7705499999997</v>
      </c>
      <c r="E42" s="730">
        <f>C42*(1+D63)</f>
        <v>3360.9405843</v>
      </c>
      <c r="F42" s="731">
        <f>C42*(1+E63)</f>
        <v>3455.0469206603998</v>
      </c>
      <c r="G42" s="28"/>
      <c r="H42" s="28"/>
      <c r="I42" s="28"/>
      <c r="J42" s="28"/>
      <c r="K42" s="28"/>
      <c r="L42" s="28"/>
      <c r="M42" s="28"/>
      <c r="N42" s="722" t="s">
        <v>779</v>
      </c>
    </row>
    <row r="43" spans="1:19" ht="18" thickBot="1" x14ac:dyDescent="0.55000000000000004">
      <c r="A43" s="976" t="s">
        <v>168</v>
      </c>
      <c r="B43" s="729"/>
      <c r="C43" s="732">
        <v>3234.6729999999998</v>
      </c>
      <c r="D43" s="733">
        <v>3355.8229999999999</v>
      </c>
      <c r="E43" s="733">
        <v>3497.1840000000002</v>
      </c>
      <c r="F43" s="734">
        <v>3609.43</v>
      </c>
      <c r="G43" s="28"/>
      <c r="M43" s="28"/>
      <c r="N43" s="28" t="s">
        <v>980</v>
      </c>
    </row>
    <row r="44" spans="1:19" ht="12.75" x14ac:dyDescent="0.35">
      <c r="A44" s="23" t="s">
        <v>68</v>
      </c>
      <c r="B44"/>
      <c r="C44" s="103"/>
    </row>
    <row r="45" spans="1:19" ht="39.6" customHeight="1" x14ac:dyDescent="0.4">
      <c r="A45" s="651" t="s">
        <v>241</v>
      </c>
      <c r="B45" s="331"/>
      <c r="C45" s="103"/>
      <c r="D45" s="18"/>
      <c r="E45" s="18"/>
      <c r="F45" s="18"/>
    </row>
    <row r="46" spans="1:19" ht="17.649999999999999" x14ac:dyDescent="0.5">
      <c r="A46" s="61"/>
      <c r="B46" s="96"/>
      <c r="C46" s="724"/>
      <c r="D46" s="157"/>
      <c r="E46" s="157"/>
      <c r="F46" s="157"/>
      <c r="G46" s="28"/>
      <c r="I46" s="202"/>
      <c r="J46" s="202"/>
      <c r="K46" s="202"/>
      <c r="L46" s="202"/>
      <c r="N46" s="203"/>
    </row>
    <row r="47" spans="1:19" ht="17.25" x14ac:dyDescent="0.45">
      <c r="A47" s="61" t="s">
        <v>968</v>
      </c>
      <c r="B47" s="96"/>
      <c r="C47" s="757">
        <f>(C43-C42)</f>
        <v>45.022999999999683</v>
      </c>
      <c r="D47" s="757">
        <f t="shared" ref="D47:F47" si="1">(D43-D42)</f>
        <v>80.052450000000135</v>
      </c>
      <c r="E47" s="757">
        <f t="shared" si="1"/>
        <v>136.24341570000024</v>
      </c>
      <c r="F47" s="757">
        <f t="shared" si="1"/>
        <v>154.38307933960004</v>
      </c>
    </row>
    <row r="48" spans="1:19" ht="17.25" x14ac:dyDescent="0.45">
      <c r="A48" s="61"/>
      <c r="B48" s="96"/>
      <c r="C48" s="757"/>
      <c r="D48" s="757"/>
      <c r="E48" s="757"/>
      <c r="F48" s="757"/>
    </row>
    <row r="49" spans="1:8" x14ac:dyDescent="0.4">
      <c r="B49" s="96"/>
      <c r="C49" s="18"/>
      <c r="D49" s="18"/>
      <c r="E49" s="18"/>
      <c r="F49" s="18"/>
    </row>
    <row r="50" spans="1:8" ht="17.25" x14ac:dyDescent="0.45">
      <c r="A50" s="61" t="s">
        <v>370</v>
      </c>
      <c r="B50" s="96"/>
      <c r="C50" s="757">
        <f>Finansieringsforslag!H11/1000-C55-C57</f>
        <v>-70.763000000000005</v>
      </c>
      <c r="D50" s="757">
        <f>Finansieringsforslag!I11/1000-D55-D57</f>
        <v>-62.103999999999999</v>
      </c>
      <c r="E50" s="757">
        <f>Finansieringsforslag!J11/1000-E55-E57</f>
        <v>-64.403999999999996</v>
      </c>
      <c r="F50" s="757">
        <f>Finansieringsforslag!K11/1000-F55-F57</f>
        <v>-61.278999999999996</v>
      </c>
    </row>
    <row r="51" spans="1:8" s="95" customFormat="1" ht="20.25" x14ac:dyDescent="0.55000000000000004">
      <c r="A51" s="61" t="s">
        <v>371</v>
      </c>
      <c r="B51" s="96"/>
      <c r="C51" s="757">
        <f>Aktivitetsudvidelser!F12/1000+'Afledt drift'!E12/1000-C56</f>
        <v>25.74</v>
      </c>
      <c r="D51" s="757">
        <f>Aktivitetsudvidelser!G12/1000+'Afledt drift'!F12/1000-D56</f>
        <v>29.500999999999998</v>
      </c>
      <c r="E51" s="757">
        <f>Aktivitetsudvidelser!H12/1000+'Afledt drift'!G12/1000-E56</f>
        <v>9.5959999999999894</v>
      </c>
      <c r="F51" s="757">
        <f>Aktivitetsudvidelser!I12/1000+'Afledt drift'!H12/1000-F56</f>
        <v>-14.241</v>
      </c>
    </row>
    <row r="52" spans="1:8" s="95" customFormat="1" ht="20.25" x14ac:dyDescent="0.55000000000000004">
      <c r="A52" s="61"/>
      <c r="B52" s="96"/>
      <c r="C52" s="757"/>
      <c r="D52" s="757"/>
      <c r="E52" s="757"/>
      <c r="F52" s="757"/>
    </row>
    <row r="53" spans="1:8" s="95" customFormat="1" ht="20.25" x14ac:dyDescent="0.55000000000000004">
      <c r="A53" s="61" t="s">
        <v>991</v>
      </c>
      <c r="B53" s="96"/>
      <c r="C53" s="757">
        <f>C47+C50+C51</f>
        <v>-3.2329694477084558E-13</v>
      </c>
      <c r="D53" s="757"/>
      <c r="E53" s="757"/>
      <c r="F53" s="757"/>
      <c r="H53" s="586"/>
    </row>
    <row r="54" spans="1:8" s="95" customFormat="1" ht="20.25" x14ac:dyDescent="0.55000000000000004">
      <c r="A54" s="61"/>
      <c r="B54" s="96"/>
      <c r="C54" s="757"/>
      <c r="D54" s="757"/>
      <c r="E54" s="757"/>
      <c r="F54" s="757"/>
    </row>
    <row r="55" spans="1:8" s="95" customFormat="1" ht="20.25" x14ac:dyDescent="0.55000000000000004">
      <c r="A55" s="61" t="s">
        <v>988</v>
      </c>
      <c r="B55" s="96"/>
      <c r="C55" s="757">
        <f>SUM(Finansieringsforslag!H165:H167)/1000</f>
        <v>-19.721</v>
      </c>
      <c r="D55" s="757">
        <f>SUM(Finansieringsforslag!I165:I167)/1000</f>
        <v>0</v>
      </c>
      <c r="E55" s="757">
        <f>SUM(Finansieringsforslag!J165:J167)/1000</f>
        <v>0</v>
      </c>
      <c r="F55" s="757">
        <f>SUM(Finansieringsforslag!K165:K167)/1000</f>
        <v>0</v>
      </c>
    </row>
    <row r="56" spans="1:8" s="95" customFormat="1" ht="20.25" x14ac:dyDescent="0.55000000000000004">
      <c r="A56" s="61" t="s">
        <v>989</v>
      </c>
      <c r="B56" s="96"/>
      <c r="C56" s="757">
        <f>SUM(Aktivitetsudvidelser!F179:F188)/1000</f>
        <v>31.745000000000001</v>
      </c>
      <c r="D56" s="757">
        <f>SUM(Aktivitetsudvidelser!G179:G188)/1000</f>
        <v>52.32</v>
      </c>
      <c r="E56" s="757">
        <f>SUM(Aktivitetsudvidelser!H179:H188)/1000</f>
        <v>71.677000000000007</v>
      </c>
      <c r="F56" s="757">
        <f>SUM(Aktivitetsudvidelser!I179:I188)/1000</f>
        <v>74.31</v>
      </c>
    </row>
    <row r="57" spans="1:8" ht="17.25" x14ac:dyDescent="0.45">
      <c r="A57" s="61" t="s">
        <v>372</v>
      </c>
      <c r="B57" s="96"/>
      <c r="C57" s="757">
        <f>IF(Finansieringsforslag!$N$172="x",Finansieringsforslag!H172/1000,0)</f>
        <v>1.73</v>
      </c>
      <c r="D57" s="757">
        <f>IF(Finansieringsforslag!$N$172="x",Finansieringsforslag!I172/1000,0)</f>
        <v>1.73</v>
      </c>
      <c r="E57" s="757">
        <f>IF(Finansieringsforslag!$N$172="x",Finansieringsforslag!J172/1000,0)</f>
        <v>1.73</v>
      </c>
      <c r="F57" s="757">
        <f>IF(Finansieringsforslag!$N$172="x",Finansieringsforslag!K172/1000,0)</f>
        <v>1.73</v>
      </c>
    </row>
    <row r="58" spans="1:8" x14ac:dyDescent="0.4">
      <c r="B58" s="96"/>
      <c r="C58" s="18"/>
      <c r="D58" s="18"/>
      <c r="E58" s="18"/>
      <c r="F58" s="18"/>
    </row>
    <row r="59" spans="1:8" ht="17.25" x14ac:dyDescent="0.45">
      <c r="A59" s="61" t="s">
        <v>373</v>
      </c>
      <c r="B59" s="96"/>
      <c r="C59" s="757">
        <f>Anlægsønsker!D116/1000+Anlægsønsker!D117/1000</f>
        <v>23.304541</v>
      </c>
      <c r="D59" s="757">
        <f>Anlægsønsker!E116/1000+Anlægsønsker!E117/1000</f>
        <v>64.017793999999995</v>
      </c>
      <c r="E59" s="757">
        <f>Anlægsønsker!F116/1000+Anlægsønsker!F117/1000</f>
        <v>54.358551999999996</v>
      </c>
      <c r="F59" s="757">
        <f>Anlægsønsker!G116/1000+Anlægsønsker!G117/1000</f>
        <v>31.481999999999999</v>
      </c>
    </row>
    <row r="60" spans="1:8" ht="17.649999999999999" x14ac:dyDescent="0.5">
      <c r="A60" s="61"/>
      <c r="B60" s="74"/>
      <c r="C60" s="728"/>
      <c r="D60" s="443"/>
      <c r="E60" s="443"/>
      <c r="F60" s="443"/>
    </row>
    <row r="61" spans="1:8" ht="17.649999999999999" x14ac:dyDescent="0.5">
      <c r="B61" s="74"/>
      <c r="C61" s="242" t="s">
        <v>366</v>
      </c>
      <c r="D61" s="243" t="s">
        <v>367</v>
      </c>
      <c r="E61" s="243" t="s">
        <v>369</v>
      </c>
      <c r="F61" s="243" t="s">
        <v>368</v>
      </c>
    </row>
    <row r="62" spans="1:8" ht="17.649999999999999" x14ac:dyDescent="0.5">
      <c r="B62" s="74"/>
      <c r="C62" s="242"/>
      <c r="D62" s="242"/>
      <c r="E62" s="243"/>
      <c r="F62" s="243"/>
    </row>
    <row r="63" spans="1:8" ht="17.649999999999999" x14ac:dyDescent="0.5">
      <c r="A63" s="61" t="s">
        <v>826</v>
      </c>
      <c r="B63" s="74"/>
      <c r="C63" s="728">
        <f>(1.027)-1</f>
        <v>2.6999999999999913E-2</v>
      </c>
      <c r="D63" s="443">
        <f>(1.027*1.026)-1</f>
        <v>5.3701999999999916E-2</v>
      </c>
      <c r="E63" s="443">
        <f>(1.027*1.026*1.028)-1</f>
        <v>8.320565599999985E-2</v>
      </c>
      <c r="F63" s="443">
        <f>(1.027*1.026*1.028*1.028)-1</f>
        <v>0.11353541436799985</v>
      </c>
    </row>
    <row r="64" spans="1:8" ht="17.649999999999999" x14ac:dyDescent="0.5">
      <c r="A64" s="61" t="s">
        <v>827</v>
      </c>
      <c r="B64" s="74"/>
      <c r="C64" s="728">
        <f>(1.018)-1</f>
        <v>1.8000000000000016E-2</v>
      </c>
      <c r="D64" s="443">
        <f>(1.018*1.018)-1</f>
        <v>3.6324000000000023E-2</v>
      </c>
      <c r="E64" s="443">
        <f>(1.018*1.018*1.018)-1</f>
        <v>5.497783200000006E-2</v>
      </c>
      <c r="F64" s="443">
        <f>(1.018*1.018*1.018*1.018)-1</f>
        <v>7.3967432976000058E-2</v>
      </c>
    </row>
    <row r="65" spans="1:2" x14ac:dyDescent="0.4">
      <c r="B65" s="96"/>
    </row>
    <row r="66" spans="1:2" x14ac:dyDescent="0.4">
      <c r="B66" s="96"/>
    </row>
    <row r="67" spans="1:2" x14ac:dyDescent="0.4">
      <c r="B67" s="96"/>
    </row>
    <row r="68" spans="1:2" x14ac:dyDescent="0.4">
      <c r="B68" s="96"/>
    </row>
    <row r="69" spans="1:2" x14ac:dyDescent="0.4">
      <c r="B69" s="96"/>
    </row>
    <row r="70" spans="1:2" x14ac:dyDescent="0.4">
      <c r="B70" s="96"/>
    </row>
    <row r="71" spans="1:2" x14ac:dyDescent="0.4">
      <c r="B71" s="96"/>
    </row>
    <row r="72" spans="1:2" x14ac:dyDescent="0.4">
      <c r="B72" s="96"/>
    </row>
    <row r="73" spans="1:2" x14ac:dyDescent="0.4">
      <c r="B73" s="96"/>
    </row>
    <row r="74" spans="1:2" x14ac:dyDescent="0.4">
      <c r="B74" s="96"/>
    </row>
    <row r="75" spans="1:2" x14ac:dyDescent="0.4">
      <c r="B75" s="96"/>
    </row>
    <row r="76" spans="1:2" x14ac:dyDescent="0.4">
      <c r="B76" s="96"/>
    </row>
    <row r="77" spans="1:2" x14ac:dyDescent="0.4">
      <c r="B77" s="96"/>
    </row>
    <row r="78" spans="1:2" x14ac:dyDescent="0.4">
      <c r="B78" s="96"/>
    </row>
    <row r="79" spans="1:2" x14ac:dyDescent="0.4">
      <c r="B79" s="96"/>
    </row>
    <row r="80" spans="1:2" x14ac:dyDescent="0.4">
      <c r="B80" s="96"/>
    </row>
    <row r="81" spans="2:9" x14ac:dyDescent="0.4">
      <c r="B81" s="96"/>
    </row>
    <row r="82" spans="2:9" x14ac:dyDescent="0.4">
      <c r="B82" s="96"/>
    </row>
    <row r="83" spans="2:9" x14ac:dyDescent="0.4">
      <c r="B83" s="96"/>
      <c r="I83" t="s">
        <v>71</v>
      </c>
    </row>
    <row r="84" spans="2:9" x14ac:dyDescent="0.4">
      <c r="B84" s="96"/>
    </row>
    <row r="85" spans="2:9" x14ac:dyDescent="0.4">
      <c r="B85" s="96"/>
    </row>
    <row r="86" spans="2:9" x14ac:dyDescent="0.4">
      <c r="B86" s="96"/>
    </row>
  </sheetData>
  <conditionalFormatting sqref="C53:F53">
    <cfRule type="iconSet" priority="2">
      <iconSet reverse="1">
        <cfvo type="percent" val="0"/>
        <cfvo type="num" val="0"/>
        <cfvo type="num" val="1E-4"/>
      </iconSet>
    </cfRule>
  </conditionalFormatting>
  <conditionalFormatting sqref="G11:G14">
    <cfRule type="iconSet" priority="36">
      <iconSet iconSet="3Flags">
        <cfvo type="percent" val="0"/>
        <cfvo type="percent" val="33"/>
        <cfvo type="percent" val="67"/>
      </iconSet>
    </cfRule>
  </conditionalFormatting>
  <conditionalFormatting sqref="H11">
    <cfRule type="colorScale" priority="35">
      <colorScale>
        <cfvo type="num" val="0"/>
        <cfvo type="max"/>
        <color rgb="FF00B050"/>
        <color rgb="FFFFEF9C"/>
      </colorScale>
    </cfRule>
  </conditionalFormatting>
  <conditionalFormatting sqref="H53">
    <cfRule type="iconSet" priority="3">
      <iconSet>
        <cfvo type="percent" val="0"/>
        <cfvo type="num" val="100"/>
        <cfvo type="num" val="100"/>
      </iconSet>
    </cfRule>
  </conditionalFormatting>
  <conditionalFormatting sqref="I11">
    <cfRule type="iconSet" priority="19">
      <iconSet reverse="1">
        <cfvo type="percent" val="0"/>
        <cfvo type="num" val="-100"/>
        <cfvo type="num" val="-100"/>
      </iconSet>
    </cfRule>
  </conditionalFormatting>
  <conditionalFormatting sqref="I12:I14">
    <cfRule type="iconSet" priority="17">
      <iconSet reverse="1">
        <cfvo type="percent" val="0"/>
        <cfvo type="num" val="189.36699999999999" gte="0"/>
        <cfvo type="num" val="189.36699999999999" gte="0"/>
      </iconSet>
    </cfRule>
  </conditionalFormatting>
  <conditionalFormatting sqref="I20">
    <cfRule type="iconSet" priority="21">
      <iconSet reverse="1">
        <cfvo type="percent" val="0"/>
        <cfvo type="num" val="0"/>
        <cfvo type="num" val="0"/>
      </iconSet>
    </cfRule>
  </conditionalFormatting>
  <conditionalFormatting sqref="I31">
    <cfRule type="iconSet" priority="13">
      <iconSet>
        <cfvo type="percent" val="0"/>
        <cfvo type="num" val="100"/>
        <cfvo type="num" val="100"/>
      </iconSet>
    </cfRule>
  </conditionalFormatting>
  <conditionalFormatting sqref="I46">
    <cfRule type="iconSet" priority="11">
      <iconSet reverse="1">
        <cfvo type="percent" val="0"/>
        <cfvo type="num" val="1E-3" gte="0"/>
        <cfvo type="num" val="1E-3"/>
      </iconSet>
    </cfRule>
  </conditionalFormatting>
  <conditionalFormatting sqref="I53">
    <cfRule type="colorScale" priority="1">
      <colorScale>
        <cfvo type="min"/>
        <cfvo type="max"/>
        <color rgb="FF92D050"/>
        <color rgb="FFFF0000"/>
      </colorScale>
    </cfRule>
  </conditionalFormatting>
  <conditionalFormatting sqref="I24:L24">
    <cfRule type="iconSet" priority="15">
      <iconSet>
        <cfvo type="percent" val="0"/>
        <cfvo type="percent" val="0"/>
        <cfvo type="percent" val="0"/>
      </iconSet>
    </cfRule>
  </conditionalFormatting>
  <conditionalFormatting sqref="J11:L11">
    <cfRule type="iconSet" priority="18">
      <iconSet reverse="1">
        <cfvo type="percent" val="0"/>
        <cfvo type="num" val="-100"/>
        <cfvo type="num" val="-100"/>
      </iconSet>
    </cfRule>
  </conditionalFormatting>
  <conditionalFormatting sqref="J20:L20">
    <cfRule type="iconSet" priority="20">
      <iconSet reverse="1">
        <cfvo type="percent" val="0"/>
        <cfvo type="num" val="0"/>
        <cfvo type="num" val="0"/>
      </iconSet>
    </cfRule>
  </conditionalFormatting>
  <conditionalFormatting sqref="J31:L31">
    <cfRule type="iconSet" priority="12">
      <iconSet>
        <cfvo type="percent" val="0"/>
        <cfvo type="num" val="100"/>
        <cfvo type="num" val="100"/>
      </iconSet>
    </cfRule>
  </conditionalFormatting>
  <conditionalFormatting sqref="J46:L46">
    <cfRule type="iconSet" priority="10">
      <iconSet reverse="1">
        <cfvo type="percent" val="0"/>
        <cfvo type="num" val="1E-3" gte="0"/>
        <cfvo type="num" val="1E-3"/>
      </iconSet>
    </cfRule>
  </conditionalFormatting>
  <printOptions horizontalCentered="1"/>
  <pageMargins left="0.59055118110236227" right="0.59055118110236227" top="0.43307086614173229" bottom="0.31496062992125984" header="0.15748031496062992" footer="0.15748031496062992"/>
  <pageSetup paperSize="9" scale="65" orientation="landscape" r:id="rId1"/>
  <headerFooter alignWithMargins="0">
    <oddFooter>&amp;L&amp;6 &amp;D kl. &amp;T&amp;R&amp;6 &amp;F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HW175"/>
  <sheetViews>
    <sheetView topLeftCell="A9" zoomScale="90" zoomScaleNormal="90" workbookViewId="0">
      <selection activeCell="K18" sqref="K18"/>
    </sheetView>
  </sheetViews>
  <sheetFormatPr defaultColWidth="8.53125" defaultRowHeight="12.75" x14ac:dyDescent="0.35"/>
  <cols>
    <col min="1" max="1" width="2.53125" style="600" customWidth="1"/>
    <col min="2" max="2" width="75.796875" style="599" customWidth="1"/>
    <col min="3" max="4" width="6.46484375" style="600" hidden="1" customWidth="1"/>
    <col min="5" max="5" width="4.53125" style="600" customWidth="1"/>
    <col min="6" max="6" width="5.53125" style="600" customWidth="1"/>
    <col min="7" max="7" width="8.46484375" style="600" customWidth="1"/>
    <col min="8" max="10" width="9" style="600" customWidth="1"/>
    <col min="11" max="11" width="9.6640625" style="600" customWidth="1"/>
    <col min="12" max="12" width="12.46484375" style="600" customWidth="1"/>
    <col min="13" max="13" width="4" style="600" customWidth="1"/>
    <col min="14" max="14" width="12.53125" style="600" customWidth="1"/>
    <col min="15" max="16" width="8.53125" style="601" customWidth="1"/>
    <col min="17" max="17" width="10" style="601" customWidth="1"/>
    <col min="18" max="18" width="11.53125" style="601" customWidth="1"/>
    <col min="19" max="20" width="8.53125" style="600" customWidth="1"/>
    <col min="21" max="16384" width="8.53125" style="600"/>
  </cols>
  <sheetData>
    <row r="2" spans="2:231" ht="15" customHeight="1" x14ac:dyDescent="0.4">
      <c r="B2" s="602" t="s">
        <v>226</v>
      </c>
      <c r="C2" s="599"/>
      <c r="D2" s="599"/>
      <c r="E2" s="599"/>
      <c r="F2" s="599"/>
      <c r="G2" s="599"/>
      <c r="H2" s="599"/>
      <c r="I2" s="599"/>
      <c r="J2" s="599"/>
      <c r="K2" s="599"/>
    </row>
    <row r="3" spans="2:231" x14ac:dyDescent="0.35">
      <c r="G3" s="603"/>
      <c r="H3" s="603"/>
    </row>
    <row r="4" spans="2:231" x14ac:dyDescent="0.35">
      <c r="H4" s="603"/>
    </row>
    <row r="5" spans="2:231" ht="15.4" thickBot="1" x14ac:dyDescent="0.45">
      <c r="B5" s="667" t="s">
        <v>61</v>
      </c>
      <c r="C5" s="668"/>
      <c r="D5" s="668"/>
      <c r="E5" s="758"/>
      <c r="F5" s="758"/>
      <c r="G5" s="758"/>
      <c r="H5" s="758"/>
      <c r="I5" s="758"/>
      <c r="J5" s="758"/>
      <c r="K5" s="758"/>
      <c r="L5" s="759"/>
      <c r="M5" s="669"/>
      <c r="N5" s="759"/>
      <c r="O5" s="600"/>
      <c r="P5" s="600"/>
      <c r="Q5" s="669"/>
      <c r="R5" s="669"/>
      <c r="S5" s="669"/>
      <c r="T5" s="669"/>
      <c r="U5" s="669"/>
      <c r="V5" s="669"/>
      <c r="W5" s="669"/>
      <c r="X5" s="669"/>
      <c r="Y5" s="669"/>
      <c r="Z5" s="669"/>
      <c r="AA5" s="669"/>
      <c r="AB5" s="669"/>
      <c r="AC5" s="669"/>
      <c r="AD5" s="669"/>
      <c r="AE5" s="669"/>
      <c r="AF5" s="669"/>
      <c r="AG5" s="669"/>
      <c r="AH5" s="669"/>
      <c r="AI5" s="669"/>
      <c r="AJ5" s="669"/>
      <c r="AK5" s="669"/>
      <c r="AL5" s="669"/>
      <c r="AM5" s="669"/>
      <c r="AN5" s="669"/>
      <c r="AO5" s="669"/>
      <c r="AP5" s="669"/>
      <c r="AQ5" s="669"/>
      <c r="AR5" s="669"/>
      <c r="AS5" s="669"/>
      <c r="AT5" s="669"/>
      <c r="AU5" s="669"/>
      <c r="AV5" s="669"/>
      <c r="AW5" s="669"/>
      <c r="AX5" s="669"/>
      <c r="AY5" s="669"/>
      <c r="AZ5" s="669"/>
      <c r="BA5" s="669"/>
      <c r="BB5" s="669"/>
      <c r="BC5" s="669"/>
      <c r="BD5" s="669"/>
      <c r="BE5" s="669"/>
      <c r="BF5" s="669"/>
      <c r="BG5" s="669"/>
      <c r="BH5" s="669"/>
      <c r="BI5" s="669"/>
      <c r="BJ5" s="669"/>
      <c r="BK5" s="669"/>
      <c r="BL5" s="669"/>
      <c r="BM5" s="669"/>
      <c r="BN5" s="669"/>
      <c r="BO5" s="669"/>
      <c r="BP5" s="669"/>
      <c r="BQ5" s="669"/>
      <c r="BR5" s="669"/>
      <c r="BS5" s="669"/>
      <c r="BT5" s="669"/>
      <c r="BU5" s="669"/>
      <c r="BV5" s="669"/>
      <c r="BW5" s="669"/>
      <c r="BX5" s="669"/>
      <c r="BY5" s="669"/>
      <c r="BZ5" s="669"/>
      <c r="CA5" s="669"/>
      <c r="CB5" s="669"/>
      <c r="CC5" s="669"/>
      <c r="CD5" s="669"/>
      <c r="CE5" s="669"/>
      <c r="CF5" s="669"/>
      <c r="CG5" s="669"/>
      <c r="CH5" s="669"/>
      <c r="CI5" s="669"/>
      <c r="CJ5" s="669"/>
      <c r="CK5" s="669"/>
      <c r="CL5" s="669"/>
      <c r="CM5" s="669"/>
      <c r="CN5" s="669"/>
      <c r="CO5" s="669"/>
      <c r="CP5" s="669"/>
      <c r="CQ5" s="669"/>
      <c r="CR5" s="669"/>
      <c r="CS5" s="669"/>
      <c r="CT5" s="669"/>
      <c r="CU5" s="669"/>
      <c r="CV5" s="669"/>
      <c r="CW5" s="669"/>
      <c r="CX5" s="669"/>
      <c r="CY5" s="669"/>
      <c r="CZ5" s="669"/>
      <c r="DA5" s="669"/>
      <c r="DB5" s="669"/>
      <c r="DC5" s="669"/>
      <c r="DD5" s="669"/>
      <c r="DE5" s="669"/>
      <c r="DF5" s="669"/>
      <c r="DG5" s="669"/>
      <c r="DH5" s="669"/>
      <c r="DI5" s="669"/>
      <c r="DJ5" s="669"/>
      <c r="DK5" s="669"/>
      <c r="DL5" s="669"/>
      <c r="DM5" s="669"/>
      <c r="DN5" s="669"/>
      <c r="DO5" s="669"/>
      <c r="DP5" s="669"/>
      <c r="DQ5" s="669"/>
      <c r="DR5" s="669"/>
      <c r="DS5" s="669"/>
      <c r="DT5" s="669"/>
      <c r="DU5" s="669"/>
      <c r="DV5" s="669"/>
      <c r="DW5" s="669"/>
      <c r="DX5" s="669"/>
      <c r="DY5" s="669"/>
      <c r="DZ5" s="669"/>
      <c r="EA5" s="669"/>
      <c r="EB5" s="669"/>
      <c r="EC5" s="669"/>
      <c r="ED5" s="669"/>
      <c r="EE5" s="669"/>
      <c r="EF5" s="669"/>
      <c r="EG5" s="669"/>
      <c r="EH5" s="669"/>
      <c r="EI5" s="669"/>
      <c r="EJ5" s="669"/>
      <c r="EK5" s="669"/>
      <c r="EL5" s="669"/>
      <c r="EM5" s="669"/>
      <c r="EN5" s="669"/>
      <c r="EO5" s="669"/>
      <c r="EP5" s="669"/>
      <c r="EQ5" s="669"/>
      <c r="ER5" s="669"/>
      <c r="ES5" s="669"/>
      <c r="ET5" s="669"/>
      <c r="EU5" s="669"/>
      <c r="EV5" s="669"/>
      <c r="EW5" s="669"/>
      <c r="EX5" s="669"/>
      <c r="EY5" s="669"/>
      <c r="EZ5" s="669"/>
      <c r="FA5" s="669"/>
      <c r="FB5" s="669"/>
      <c r="FC5" s="669"/>
      <c r="FD5" s="669"/>
      <c r="FE5" s="669"/>
      <c r="FF5" s="669"/>
      <c r="FG5" s="669"/>
      <c r="FH5" s="669"/>
      <c r="FI5" s="669"/>
      <c r="FJ5" s="669"/>
      <c r="FK5" s="669"/>
      <c r="FL5" s="669"/>
      <c r="FM5" s="669"/>
      <c r="FN5" s="669"/>
      <c r="FO5" s="669"/>
      <c r="FP5" s="669"/>
      <c r="FQ5" s="669"/>
      <c r="FR5" s="669"/>
      <c r="FS5" s="669"/>
      <c r="FT5" s="669"/>
      <c r="FU5" s="669"/>
      <c r="FV5" s="669"/>
      <c r="FW5" s="669"/>
      <c r="FX5" s="669"/>
      <c r="FY5" s="669"/>
      <c r="FZ5" s="669"/>
      <c r="GA5" s="669"/>
      <c r="GB5" s="669"/>
      <c r="GC5" s="669"/>
      <c r="GD5" s="669"/>
      <c r="GE5" s="669"/>
      <c r="GF5" s="669"/>
      <c r="GG5" s="669"/>
      <c r="GH5" s="669"/>
      <c r="GI5" s="669"/>
      <c r="GJ5" s="669"/>
      <c r="GK5" s="669"/>
      <c r="GL5" s="669"/>
      <c r="GM5" s="669"/>
      <c r="GN5" s="669"/>
      <c r="GO5" s="669"/>
      <c r="GP5" s="669"/>
      <c r="GQ5" s="669"/>
      <c r="GR5" s="669"/>
      <c r="GS5" s="669"/>
      <c r="GT5" s="669"/>
      <c r="GU5" s="669"/>
      <c r="GV5" s="669"/>
      <c r="GW5" s="669"/>
      <c r="GX5" s="669"/>
      <c r="GY5" s="669"/>
      <c r="GZ5" s="669"/>
      <c r="HA5" s="669"/>
      <c r="HB5" s="669"/>
      <c r="HC5" s="669"/>
      <c r="HD5" s="669"/>
      <c r="HE5" s="669"/>
      <c r="HF5" s="669"/>
      <c r="HG5" s="669"/>
      <c r="HH5" s="669"/>
      <c r="HI5" s="669"/>
      <c r="HJ5" s="669"/>
      <c r="HK5" s="669"/>
      <c r="HL5" s="669"/>
      <c r="HM5" s="669"/>
      <c r="HN5" s="669"/>
      <c r="HO5" s="669"/>
      <c r="HP5" s="669"/>
      <c r="HQ5" s="669"/>
      <c r="HR5" s="669"/>
      <c r="HS5" s="669"/>
      <c r="HT5" s="669"/>
      <c r="HU5" s="669"/>
      <c r="HV5" s="669"/>
      <c r="HW5" s="669"/>
    </row>
    <row r="6" spans="2:231" ht="13.5" thickTop="1" x14ac:dyDescent="0.4">
      <c r="B6" s="604" t="s">
        <v>227</v>
      </c>
      <c r="C6" s="343"/>
      <c r="D6" s="343"/>
      <c r="E6" s="760"/>
      <c r="F6" s="760"/>
      <c r="G6" s="760"/>
      <c r="H6" s="761"/>
      <c r="I6" s="761"/>
      <c r="J6" s="761"/>
      <c r="K6" s="762"/>
    </row>
    <row r="7" spans="2:231" ht="13.15" x14ac:dyDescent="0.4">
      <c r="B7" s="606"/>
      <c r="C7" s="606"/>
      <c r="D7" s="606"/>
      <c r="E7" s="606"/>
      <c r="F7" s="606"/>
      <c r="H7" s="760"/>
      <c r="I7" s="760"/>
      <c r="J7" s="760"/>
      <c r="K7" s="763"/>
    </row>
    <row r="8" spans="2:231" ht="15.4" x14ac:dyDescent="0.45">
      <c r="C8" s="343"/>
      <c r="D8" s="343"/>
      <c r="E8" s="760"/>
      <c r="F8" s="760"/>
      <c r="G8" s="764"/>
      <c r="H8" s="760"/>
      <c r="I8" s="760"/>
      <c r="J8" s="760"/>
      <c r="K8" s="760"/>
    </row>
    <row r="9" spans="2:231" ht="13.5" thickBot="1" x14ac:dyDescent="0.45">
      <c r="B9" s="607" t="s">
        <v>61</v>
      </c>
      <c r="C9" s="343"/>
      <c r="D9" s="343"/>
      <c r="E9" s="760"/>
      <c r="F9" s="760"/>
      <c r="G9" s="760"/>
      <c r="H9" s="760"/>
      <c r="I9" s="760"/>
      <c r="J9" s="760"/>
      <c r="K9" s="760"/>
    </row>
    <row r="10" spans="2:231" ht="13.15" x14ac:dyDescent="0.4">
      <c r="B10" s="608" t="s">
        <v>64</v>
      </c>
      <c r="C10" s="609"/>
      <c r="D10" s="610" t="s">
        <v>188</v>
      </c>
      <c r="E10" s="765" t="s">
        <v>228</v>
      </c>
      <c r="F10" s="765" t="s">
        <v>60</v>
      </c>
      <c r="G10" s="611"/>
      <c r="H10" s="611">
        <f>+'Budgetforslag 2027-2030'!C3</f>
        <v>2027</v>
      </c>
      <c r="I10" s="611">
        <f>H10+1</f>
        <v>2028</v>
      </c>
      <c r="J10" s="611">
        <f>I10+1</f>
        <v>2029</v>
      </c>
      <c r="K10" s="799">
        <f>J10+1</f>
        <v>2030</v>
      </c>
      <c r="L10" s="832" t="s">
        <v>99</v>
      </c>
      <c r="M10" s="843"/>
      <c r="N10" s="840" t="s">
        <v>65</v>
      </c>
    </row>
    <row r="11" spans="2:231" ht="13.5" thickBot="1" x14ac:dyDescent="0.45">
      <c r="B11" s="627" t="s">
        <v>39</v>
      </c>
      <c r="C11" s="605"/>
      <c r="D11" s="605"/>
      <c r="E11" s="761"/>
      <c r="F11" s="761"/>
      <c r="G11" s="625"/>
      <c r="H11" s="626">
        <f>SUMIF($N$12:$N$175,"x",H12:H175)</f>
        <v>-88754</v>
      </c>
      <c r="I11" s="626">
        <f>SUMIF($N$12:$N$175,"x",I12:I175)</f>
        <v>-60374</v>
      </c>
      <c r="J11" s="626">
        <f>SUMIF($N$12:$N$175,"x",J12:J175)</f>
        <v>-62674</v>
      </c>
      <c r="K11" s="838">
        <f>SUMIF($N$12:$N$175,"x",K12:K175)</f>
        <v>-59549</v>
      </c>
      <c r="L11" s="833" t="s">
        <v>100</v>
      </c>
      <c r="M11" s="803"/>
      <c r="N11" s="841" t="s">
        <v>66</v>
      </c>
    </row>
    <row r="12" spans="2:231" ht="14.25" x14ac:dyDescent="0.45">
      <c r="B12" s="612" t="s">
        <v>229</v>
      </c>
      <c r="C12" s="613"/>
      <c r="D12" s="613"/>
      <c r="E12" s="766"/>
      <c r="F12" s="766"/>
      <c r="G12" s="614"/>
      <c r="H12" s="766"/>
      <c r="I12" s="766"/>
      <c r="J12" s="766"/>
      <c r="K12" s="800"/>
      <c r="L12" s="802"/>
      <c r="M12" s="837"/>
      <c r="N12" s="842"/>
    </row>
    <row r="13" spans="2:231" ht="14.25" x14ac:dyDescent="0.45">
      <c r="B13" s="615"/>
      <c r="C13" s="613"/>
      <c r="D13" s="613"/>
      <c r="E13" s="766"/>
      <c r="F13" s="766"/>
      <c r="G13" s="614"/>
      <c r="H13" s="767"/>
      <c r="I13" s="767"/>
      <c r="J13" s="767"/>
      <c r="K13" s="801"/>
      <c r="L13" s="216"/>
      <c r="M13" s="844"/>
      <c r="N13" s="842"/>
    </row>
    <row r="14" spans="2:231" ht="14.25" x14ac:dyDescent="0.45">
      <c r="B14" s="621" t="s">
        <v>492</v>
      </c>
      <c r="C14" s="391"/>
      <c r="D14" s="391"/>
      <c r="E14" s="864">
        <v>11</v>
      </c>
      <c r="F14" s="864">
        <v>100</v>
      </c>
      <c r="G14" s="392"/>
      <c r="H14" s="736">
        <v>-800</v>
      </c>
      <c r="I14" s="736">
        <v>-800</v>
      </c>
      <c r="J14" s="736">
        <v>-800</v>
      </c>
      <c r="K14" s="737">
        <v>-800</v>
      </c>
      <c r="L14" s="737">
        <v>1206400</v>
      </c>
      <c r="M14" s="865"/>
      <c r="N14" s="866" t="s">
        <v>71</v>
      </c>
      <c r="O14" s="617"/>
      <c r="P14" s="617"/>
      <c r="Q14" s="617"/>
      <c r="R14" s="617"/>
    </row>
    <row r="15" spans="2:231" s="789" customFormat="1" ht="14.25" x14ac:dyDescent="0.45">
      <c r="B15" s="621" t="s">
        <v>1005</v>
      </c>
      <c r="C15" s="118"/>
      <c r="D15" s="118"/>
      <c r="E15" s="864">
        <v>11</v>
      </c>
      <c r="F15" s="864">
        <v>100</v>
      </c>
      <c r="G15" s="118"/>
      <c r="H15" s="118">
        <v>-500</v>
      </c>
      <c r="I15" s="118"/>
      <c r="J15" s="118"/>
      <c r="K15" s="171"/>
      <c r="L15" s="461"/>
      <c r="M15" s="867"/>
      <c r="N15" s="866" t="s">
        <v>71</v>
      </c>
      <c r="O15" s="830"/>
    </row>
    <row r="16" spans="2:231" ht="14.25" x14ac:dyDescent="0.45">
      <c r="B16" s="621" t="s">
        <v>753</v>
      </c>
      <c r="C16" s="391"/>
      <c r="D16" s="391"/>
      <c r="E16" s="864">
        <v>11</v>
      </c>
      <c r="F16" s="864">
        <v>100</v>
      </c>
      <c r="G16" s="392"/>
      <c r="H16" s="736">
        <v>-225</v>
      </c>
      <c r="I16" s="736">
        <v>-225</v>
      </c>
      <c r="J16" s="736">
        <v>-225</v>
      </c>
      <c r="K16" s="737">
        <v>-225</v>
      </c>
      <c r="L16" s="737">
        <f>1244-198</f>
        <v>1046</v>
      </c>
      <c r="M16" s="865"/>
      <c r="N16" s="866" t="s">
        <v>71</v>
      </c>
      <c r="O16" s="617"/>
      <c r="P16" s="617"/>
      <c r="Q16" s="617"/>
      <c r="R16" s="617"/>
    </row>
    <row r="17" spans="2:16" ht="14.25" x14ac:dyDescent="0.45">
      <c r="B17" s="621" t="s">
        <v>493</v>
      </c>
      <c r="C17" s="391"/>
      <c r="D17" s="391"/>
      <c r="E17" s="864">
        <v>11</v>
      </c>
      <c r="F17" s="864">
        <v>100</v>
      </c>
      <c r="G17" s="392"/>
      <c r="H17" s="736">
        <v>-1000</v>
      </c>
      <c r="I17" s="736">
        <v>-1000</v>
      </c>
      <c r="J17" s="736">
        <v>-1000</v>
      </c>
      <c r="K17" s="737">
        <v>-1000</v>
      </c>
      <c r="L17" s="737">
        <f>1106</f>
        <v>1106</v>
      </c>
      <c r="M17" s="865"/>
      <c r="N17" s="866" t="s">
        <v>71</v>
      </c>
      <c r="O17" s="617"/>
      <c r="P17" s="827"/>
    </row>
    <row r="18" spans="2:16" ht="14.25" x14ac:dyDescent="0.45">
      <c r="B18" s="621" t="s">
        <v>494</v>
      </c>
      <c r="C18" s="391"/>
      <c r="D18" s="391"/>
      <c r="E18" s="864">
        <v>11</v>
      </c>
      <c r="F18" s="864">
        <v>100</v>
      </c>
      <c r="G18" s="392"/>
      <c r="H18" s="736">
        <v>-800</v>
      </c>
      <c r="I18" s="736">
        <v>-800</v>
      </c>
      <c r="J18" s="736">
        <v>-800</v>
      </c>
      <c r="K18" s="737">
        <v>-800</v>
      </c>
      <c r="L18" s="834" t="s">
        <v>500</v>
      </c>
      <c r="M18" s="865"/>
      <c r="N18" s="866" t="s">
        <v>71</v>
      </c>
      <c r="O18" s="617"/>
    </row>
    <row r="19" spans="2:16" s="789" customFormat="1" ht="14.25" x14ac:dyDescent="0.45">
      <c r="B19" s="621" t="s">
        <v>1006</v>
      </c>
      <c r="C19" s="118"/>
      <c r="D19" s="118"/>
      <c r="E19" s="864">
        <v>11</v>
      </c>
      <c r="F19" s="864">
        <v>100</v>
      </c>
      <c r="G19" s="118"/>
      <c r="H19" s="118">
        <v>-200</v>
      </c>
      <c r="I19" s="118">
        <v>-200</v>
      </c>
      <c r="J19" s="118">
        <v>-200</v>
      </c>
      <c r="K19" s="868">
        <v>-200</v>
      </c>
      <c r="L19" s="461"/>
      <c r="M19" s="867"/>
      <c r="N19" s="866" t="s">
        <v>71</v>
      </c>
      <c r="O19" s="830"/>
    </row>
    <row r="20" spans="2:16" ht="14.25" x14ac:dyDescent="0.45">
      <c r="B20" s="621" t="s">
        <v>495</v>
      </c>
      <c r="C20" s="391"/>
      <c r="D20" s="391"/>
      <c r="E20" s="864">
        <v>11</v>
      </c>
      <c r="F20" s="864">
        <v>100</v>
      </c>
      <c r="G20" s="392"/>
      <c r="H20" s="736">
        <v>-100</v>
      </c>
      <c r="I20" s="736">
        <v>-100</v>
      </c>
      <c r="J20" s="736">
        <v>-100</v>
      </c>
      <c r="K20" s="737">
        <v>-100</v>
      </c>
      <c r="L20" s="737">
        <v>-993</v>
      </c>
      <c r="M20" s="865"/>
      <c r="N20" s="866" t="s">
        <v>71</v>
      </c>
      <c r="O20" s="617"/>
    </row>
    <row r="21" spans="2:16" ht="14.25" x14ac:dyDescent="0.45">
      <c r="B21" s="621" t="s">
        <v>496</v>
      </c>
      <c r="C21" s="391"/>
      <c r="D21" s="391"/>
      <c r="E21" s="864">
        <v>11</v>
      </c>
      <c r="F21" s="864">
        <v>100</v>
      </c>
      <c r="G21" s="392"/>
      <c r="H21" s="736">
        <v>-1400</v>
      </c>
      <c r="I21" s="736">
        <v>-1400</v>
      </c>
      <c r="J21" s="736">
        <v>-1400</v>
      </c>
      <c r="K21" s="737">
        <v>-1400</v>
      </c>
      <c r="L21" s="737">
        <v>21560</v>
      </c>
      <c r="M21" s="865"/>
      <c r="N21" s="866" t="s">
        <v>71</v>
      </c>
      <c r="O21" s="617"/>
    </row>
    <row r="22" spans="2:16" s="827" customFormat="1" ht="14.25" x14ac:dyDescent="0.45">
      <c r="B22" s="621" t="s">
        <v>1007</v>
      </c>
      <c r="C22" s="391"/>
      <c r="D22" s="391"/>
      <c r="E22" s="864">
        <v>11</v>
      </c>
      <c r="F22" s="864">
        <v>100</v>
      </c>
      <c r="G22" s="392"/>
      <c r="H22" s="864">
        <v>-400</v>
      </c>
      <c r="I22" s="864"/>
      <c r="J22" s="864"/>
      <c r="K22" s="868"/>
      <c r="L22" s="461"/>
      <c r="M22" s="867"/>
      <c r="N22" s="866" t="s">
        <v>71</v>
      </c>
      <c r="O22" s="831"/>
    </row>
    <row r="23" spans="2:16" ht="14.25" x14ac:dyDescent="0.45">
      <c r="B23" s="621" t="s">
        <v>497</v>
      </c>
      <c r="C23" s="391"/>
      <c r="D23" s="391"/>
      <c r="E23" s="864">
        <v>11</v>
      </c>
      <c r="F23" s="864">
        <v>100</v>
      </c>
      <c r="G23" s="392"/>
      <c r="H23" s="736">
        <v>-221</v>
      </c>
      <c r="I23" s="736">
        <v>-221</v>
      </c>
      <c r="J23" s="736">
        <v>-221</v>
      </c>
      <c r="K23" s="737">
        <v>-221</v>
      </c>
      <c r="L23" s="737">
        <v>1021</v>
      </c>
      <c r="M23" s="865"/>
      <c r="N23" s="866" t="s">
        <v>71</v>
      </c>
    </row>
    <row r="24" spans="2:16" s="789" customFormat="1" ht="14.25" x14ac:dyDescent="0.45">
      <c r="B24" s="621" t="s">
        <v>1008</v>
      </c>
      <c r="C24" s="118"/>
      <c r="D24" s="118"/>
      <c r="E24" s="864">
        <v>11</v>
      </c>
      <c r="F24" s="864">
        <v>100</v>
      </c>
      <c r="G24" s="118"/>
      <c r="H24" s="864">
        <v>-150</v>
      </c>
      <c r="I24" s="864">
        <v>-150</v>
      </c>
      <c r="J24" s="864">
        <v>-150</v>
      </c>
      <c r="K24" s="868">
        <v>-150</v>
      </c>
      <c r="L24" s="461"/>
      <c r="M24" s="867"/>
      <c r="N24" s="866" t="s">
        <v>71</v>
      </c>
      <c r="O24" s="830"/>
    </row>
    <row r="25" spans="2:16" ht="14.25" x14ac:dyDescent="0.45">
      <c r="B25" s="621" t="s">
        <v>498</v>
      </c>
      <c r="C25" s="391"/>
      <c r="D25" s="391"/>
      <c r="E25" s="864">
        <v>11</v>
      </c>
      <c r="F25" s="864">
        <v>100</v>
      </c>
      <c r="G25" s="392"/>
      <c r="H25" s="736">
        <v>-150</v>
      </c>
      <c r="I25" s="736">
        <v>-150</v>
      </c>
      <c r="J25" s="736">
        <v>-150</v>
      </c>
      <c r="K25" s="737">
        <v>-150</v>
      </c>
      <c r="L25" s="737">
        <v>1846</v>
      </c>
      <c r="M25" s="865"/>
      <c r="N25" s="866" t="s">
        <v>71</v>
      </c>
    </row>
    <row r="26" spans="2:16" s="789" customFormat="1" ht="14.25" x14ac:dyDescent="0.45">
      <c r="B26" s="621" t="s">
        <v>1009</v>
      </c>
      <c r="C26" s="118"/>
      <c r="D26" s="118"/>
      <c r="E26" s="864">
        <v>11</v>
      </c>
      <c r="F26" s="864">
        <v>100</v>
      </c>
      <c r="G26" s="118"/>
      <c r="H26" s="864">
        <v>-25</v>
      </c>
      <c r="I26" s="864">
        <v>-25</v>
      </c>
      <c r="J26" s="864">
        <v>-25</v>
      </c>
      <c r="K26" s="868">
        <v>-25</v>
      </c>
      <c r="L26" s="461"/>
      <c r="M26" s="867"/>
      <c r="N26" s="866" t="s">
        <v>71</v>
      </c>
      <c r="O26" s="830"/>
    </row>
    <row r="27" spans="2:16" ht="14.25" x14ac:dyDescent="0.45">
      <c r="B27" s="621" t="s">
        <v>499</v>
      </c>
      <c r="C27" s="616"/>
      <c r="D27" s="616"/>
      <c r="E27" s="741">
        <v>11</v>
      </c>
      <c r="F27" s="741">
        <v>100</v>
      </c>
      <c r="G27" s="716"/>
      <c r="H27" s="481">
        <v>-50</v>
      </c>
      <c r="I27" s="481">
        <v>-50</v>
      </c>
      <c r="J27" s="481">
        <v>-50</v>
      </c>
      <c r="K27" s="685">
        <v>-50</v>
      </c>
      <c r="L27" s="737">
        <v>180</v>
      </c>
      <c r="M27" s="845"/>
      <c r="N27" s="842" t="s">
        <v>71</v>
      </c>
    </row>
    <row r="28" spans="2:16" ht="14.45" customHeight="1" x14ac:dyDescent="0.45">
      <c r="B28" s="621" t="s">
        <v>754</v>
      </c>
      <c r="C28" s="718"/>
      <c r="D28" s="718"/>
      <c r="E28" s="741">
        <v>11</v>
      </c>
      <c r="F28" s="741">
        <v>100</v>
      </c>
      <c r="G28" s="755"/>
      <c r="H28" s="481">
        <f>-100-40</f>
        <v>-140</v>
      </c>
      <c r="I28" s="481">
        <f t="shared" ref="I28:J28" si="0">-100-40</f>
        <v>-140</v>
      </c>
      <c r="J28" s="481">
        <f t="shared" si="0"/>
        <v>-140</v>
      </c>
      <c r="K28" s="685">
        <f>-100-40</f>
        <v>-140</v>
      </c>
      <c r="L28" s="737">
        <f>1082+143+175</f>
        <v>1400</v>
      </c>
      <c r="M28" s="844"/>
      <c r="N28" s="842" t="s">
        <v>71</v>
      </c>
    </row>
    <row r="29" spans="2:16" ht="14.45" customHeight="1" x14ac:dyDescent="0.45">
      <c r="B29" s="621" t="s">
        <v>906</v>
      </c>
      <c r="C29" s="718"/>
      <c r="D29" s="718"/>
      <c r="E29" s="741">
        <v>11</v>
      </c>
      <c r="F29" s="741">
        <v>100</v>
      </c>
      <c r="G29" s="755"/>
      <c r="H29" s="481">
        <v>-533</v>
      </c>
      <c r="I29" s="481">
        <v>-533</v>
      </c>
      <c r="J29" s="481">
        <v>-533</v>
      </c>
      <c r="K29" s="685">
        <v>-533</v>
      </c>
      <c r="L29" s="737">
        <v>281448</v>
      </c>
      <c r="M29" s="844"/>
      <c r="N29" s="842" t="s">
        <v>71</v>
      </c>
    </row>
    <row r="30" spans="2:16" ht="14.45" customHeight="1" x14ac:dyDescent="0.45">
      <c r="B30" s="621" t="s">
        <v>904</v>
      </c>
      <c r="C30" s="718"/>
      <c r="D30" s="718"/>
      <c r="E30" s="741">
        <v>11</v>
      </c>
      <c r="F30" s="741">
        <v>100</v>
      </c>
      <c r="G30" s="755"/>
      <c r="H30" s="481">
        <v>-650</v>
      </c>
      <c r="I30" s="481">
        <v>-650</v>
      </c>
      <c r="J30" s="481">
        <v>-650</v>
      </c>
      <c r="K30" s="685">
        <v>-650</v>
      </c>
      <c r="L30" s="737"/>
      <c r="M30" s="844"/>
      <c r="N30" s="842"/>
    </row>
    <row r="31" spans="2:16" ht="14.45" customHeight="1" x14ac:dyDescent="0.45">
      <c r="B31" s="621" t="s">
        <v>905</v>
      </c>
      <c r="C31" s="718"/>
      <c r="D31" s="718"/>
      <c r="E31" s="741">
        <v>11</v>
      </c>
      <c r="F31" s="741">
        <v>100</v>
      </c>
      <c r="G31" s="755"/>
      <c r="H31" s="481">
        <v>-770</v>
      </c>
      <c r="I31" s="481">
        <v>-770</v>
      </c>
      <c r="J31" s="481">
        <v>-770</v>
      </c>
      <c r="K31" s="685">
        <v>-770</v>
      </c>
      <c r="L31" s="737"/>
      <c r="M31" s="844"/>
      <c r="N31" s="842"/>
    </row>
    <row r="32" spans="2:16" ht="14.45" customHeight="1" x14ac:dyDescent="0.45">
      <c r="B32" s="621" t="s">
        <v>907</v>
      </c>
      <c r="C32" s="718"/>
      <c r="D32" s="718"/>
      <c r="E32" s="741">
        <v>11</v>
      </c>
      <c r="F32" s="741">
        <v>100</v>
      </c>
      <c r="G32" s="755"/>
      <c r="H32" s="481">
        <v>-300</v>
      </c>
      <c r="I32" s="481">
        <v>-300</v>
      </c>
      <c r="J32" s="481">
        <v>-300</v>
      </c>
      <c r="K32" s="685">
        <v>-300</v>
      </c>
      <c r="L32" s="737"/>
      <c r="M32" s="844"/>
      <c r="N32" s="842" t="s">
        <v>71</v>
      </c>
    </row>
    <row r="33" spans="2:15" ht="14.45" customHeight="1" x14ac:dyDescent="0.45">
      <c r="B33" s="621" t="s">
        <v>1076</v>
      </c>
      <c r="C33" s="718"/>
      <c r="D33" s="718"/>
      <c r="E33" s="741">
        <v>11</v>
      </c>
      <c r="F33" s="741">
        <v>100</v>
      </c>
      <c r="G33" s="755"/>
      <c r="H33" s="481">
        <v>-6355</v>
      </c>
      <c r="I33" s="481">
        <v>-3425</v>
      </c>
      <c r="J33" s="481">
        <v>-3325</v>
      </c>
      <c r="K33" s="685">
        <v>-200</v>
      </c>
      <c r="L33" s="737"/>
      <c r="M33" s="844"/>
      <c r="N33" s="842" t="s">
        <v>71</v>
      </c>
    </row>
    <row r="34" spans="2:15" ht="26.65" x14ac:dyDescent="0.45">
      <c r="B34" s="687" t="s">
        <v>1091</v>
      </c>
      <c r="C34" s="718"/>
      <c r="D34" s="718"/>
      <c r="E34" s="741">
        <v>11</v>
      </c>
      <c r="F34" s="741">
        <v>100</v>
      </c>
      <c r="G34" s="755"/>
      <c r="H34" s="481">
        <f>-8096+820</f>
        <v>-7276</v>
      </c>
      <c r="I34" s="481">
        <f t="shared" ref="I34:K34" si="1">-8096+820</f>
        <v>-7276</v>
      </c>
      <c r="J34" s="481">
        <f t="shared" si="1"/>
        <v>-7276</v>
      </c>
      <c r="K34" s="685">
        <f t="shared" si="1"/>
        <v>-7276</v>
      </c>
      <c r="L34" s="737"/>
      <c r="M34" s="844"/>
      <c r="N34" s="842" t="s">
        <v>71</v>
      </c>
      <c r="O34" s="600"/>
    </row>
    <row r="35" spans="2:15" ht="14.25" x14ac:dyDescent="0.45">
      <c r="B35" s="620"/>
      <c r="C35" s="718"/>
      <c r="D35" s="718"/>
      <c r="E35" s="741"/>
      <c r="F35" s="741"/>
      <c r="G35" s="755"/>
      <c r="H35" s="481"/>
      <c r="I35" s="481"/>
      <c r="J35" s="481"/>
      <c r="K35" s="685"/>
      <c r="L35" s="737"/>
      <c r="M35" s="844"/>
      <c r="N35" s="842"/>
    </row>
    <row r="36" spans="2:15" ht="14.25" x14ac:dyDescent="0.45">
      <c r="B36" s="612" t="s">
        <v>52</v>
      </c>
      <c r="C36" s="718"/>
      <c r="D36" s="718"/>
      <c r="E36" s="741"/>
      <c r="F36" s="741"/>
      <c r="G36" s="755"/>
      <c r="H36" s="481"/>
      <c r="I36" s="481"/>
      <c r="J36" s="481"/>
      <c r="K36" s="685"/>
      <c r="L36" s="685"/>
      <c r="M36" s="844"/>
      <c r="N36" s="842"/>
    </row>
    <row r="37" spans="2:15" ht="14.25" x14ac:dyDescent="0.45">
      <c r="B37" s="621" t="s">
        <v>489</v>
      </c>
      <c r="C37" s="391"/>
      <c r="D37" s="391"/>
      <c r="E37" s="864">
        <v>12</v>
      </c>
      <c r="F37" s="864">
        <v>100</v>
      </c>
      <c r="G37" s="392"/>
      <c r="H37" s="736">
        <v>-1502</v>
      </c>
      <c r="I37" s="736">
        <v>-1502</v>
      </c>
      <c r="J37" s="736">
        <v>-1502</v>
      </c>
      <c r="K37" s="737">
        <v>-1502</v>
      </c>
      <c r="L37" s="737">
        <v>7655</v>
      </c>
      <c r="M37" s="865"/>
      <c r="N37" s="866" t="s">
        <v>71</v>
      </c>
    </row>
    <row r="38" spans="2:15" ht="14.25" x14ac:dyDescent="0.45">
      <c r="B38" s="621" t="s">
        <v>491</v>
      </c>
      <c r="C38" s="391"/>
      <c r="D38" s="391"/>
      <c r="E38" s="864">
        <v>12</v>
      </c>
      <c r="F38" s="864">
        <v>100</v>
      </c>
      <c r="G38" s="392"/>
      <c r="H38" s="736">
        <v>-1100</v>
      </c>
      <c r="I38" s="736">
        <v>-1100</v>
      </c>
      <c r="J38" s="736">
        <v>-1100</v>
      </c>
      <c r="K38" s="737">
        <v>-1100</v>
      </c>
      <c r="L38" s="737">
        <v>40391</v>
      </c>
      <c r="M38" s="865"/>
      <c r="N38" s="866" t="s">
        <v>71</v>
      </c>
    </row>
    <row r="39" spans="2:15" s="789" customFormat="1" ht="14.25" x14ac:dyDescent="0.45">
      <c r="B39" s="621" t="s">
        <v>1010</v>
      </c>
      <c r="C39" s="118"/>
      <c r="D39" s="118"/>
      <c r="E39" s="118">
        <v>12</v>
      </c>
      <c r="F39" s="864">
        <v>100</v>
      </c>
      <c r="G39" s="118"/>
      <c r="H39" s="456">
        <v>-200</v>
      </c>
      <c r="I39" s="456">
        <v>-200</v>
      </c>
      <c r="J39" s="456">
        <v>-200</v>
      </c>
      <c r="K39" s="869">
        <v>-200</v>
      </c>
      <c r="L39" s="461"/>
      <c r="M39" s="867"/>
      <c r="N39" s="866" t="s">
        <v>71</v>
      </c>
      <c r="O39" s="830"/>
    </row>
    <row r="40" spans="2:15" ht="14.25" x14ac:dyDescent="0.45">
      <c r="B40" s="621" t="s">
        <v>490</v>
      </c>
      <c r="C40" s="391"/>
      <c r="D40" s="391"/>
      <c r="E40" s="864">
        <v>12</v>
      </c>
      <c r="F40" s="864">
        <v>100</v>
      </c>
      <c r="G40" s="392"/>
      <c r="H40" s="736">
        <v>-100</v>
      </c>
      <c r="I40" s="736">
        <v>-100</v>
      </c>
      <c r="J40" s="736">
        <v>-100</v>
      </c>
      <c r="K40" s="737">
        <v>-100</v>
      </c>
      <c r="L40" s="737">
        <v>1391</v>
      </c>
      <c r="M40" s="865"/>
      <c r="N40" s="866" t="s">
        <v>71</v>
      </c>
    </row>
    <row r="41" spans="2:15" s="789" customFormat="1" ht="14.25" x14ac:dyDescent="0.45">
      <c r="B41" s="621" t="s">
        <v>1011</v>
      </c>
      <c r="C41" s="118"/>
      <c r="D41" s="118"/>
      <c r="E41" s="118">
        <v>12</v>
      </c>
      <c r="F41" s="864">
        <v>100</v>
      </c>
      <c r="G41" s="118"/>
      <c r="H41" s="456">
        <v>-25</v>
      </c>
      <c r="I41" s="456">
        <v>-25</v>
      </c>
      <c r="J41" s="456">
        <v>-25</v>
      </c>
      <c r="K41" s="869">
        <v>-25</v>
      </c>
      <c r="L41" s="461"/>
      <c r="M41" s="867"/>
      <c r="N41" s="866" t="s">
        <v>71</v>
      </c>
      <c r="O41" s="830"/>
    </row>
    <row r="42" spans="2:15" s="789" customFormat="1" ht="14.25" x14ac:dyDescent="0.45">
      <c r="B42" s="621" t="s">
        <v>1012</v>
      </c>
      <c r="C42" s="118"/>
      <c r="D42" s="118"/>
      <c r="E42" s="118">
        <v>12</v>
      </c>
      <c r="F42" s="864">
        <v>100</v>
      </c>
      <c r="G42" s="118"/>
      <c r="H42" s="456">
        <v>-200</v>
      </c>
      <c r="I42" s="456">
        <v>-200</v>
      </c>
      <c r="J42" s="456">
        <v>-200</v>
      </c>
      <c r="K42" s="869">
        <v>-200</v>
      </c>
      <c r="L42" s="461"/>
      <c r="M42" s="867"/>
      <c r="N42" s="866" t="s">
        <v>71</v>
      </c>
      <c r="O42" s="830"/>
    </row>
    <row r="43" spans="2:15" s="789" customFormat="1" ht="14.25" x14ac:dyDescent="0.45">
      <c r="B43" s="687" t="s">
        <v>1013</v>
      </c>
      <c r="C43" s="118"/>
      <c r="D43" s="118"/>
      <c r="E43" s="118">
        <v>12</v>
      </c>
      <c r="F43" s="864">
        <v>100</v>
      </c>
      <c r="G43" s="118"/>
      <c r="H43" s="456">
        <v>-150</v>
      </c>
      <c r="I43" s="456">
        <v>-150</v>
      </c>
      <c r="J43" s="456">
        <v>-150</v>
      </c>
      <c r="K43" s="869">
        <v>-150</v>
      </c>
      <c r="L43" s="461"/>
      <c r="M43" s="867"/>
      <c r="N43" s="866" t="s">
        <v>71</v>
      </c>
      <c r="O43" s="830"/>
    </row>
    <row r="44" spans="2:15" s="789" customFormat="1" ht="14.25" x14ac:dyDescent="0.45">
      <c r="B44" s="687" t="s">
        <v>1014</v>
      </c>
      <c r="C44" s="118"/>
      <c r="D44" s="118"/>
      <c r="E44" s="118">
        <v>12</v>
      </c>
      <c r="F44" s="864">
        <v>100</v>
      </c>
      <c r="G44" s="118"/>
      <c r="H44" s="456">
        <v>-100</v>
      </c>
      <c r="I44" s="456">
        <v>-100</v>
      </c>
      <c r="J44" s="456">
        <v>-100</v>
      </c>
      <c r="K44" s="869">
        <v>-100</v>
      </c>
      <c r="L44" s="461"/>
      <c r="M44" s="867"/>
      <c r="N44" s="866" t="s">
        <v>71</v>
      </c>
      <c r="O44" s="830"/>
    </row>
    <row r="45" spans="2:15" s="789" customFormat="1" ht="14.25" x14ac:dyDescent="0.45">
      <c r="B45" s="687" t="s">
        <v>1015</v>
      </c>
      <c r="C45" s="118"/>
      <c r="D45" s="118"/>
      <c r="E45" s="118">
        <v>12</v>
      </c>
      <c r="F45" s="864">
        <v>100</v>
      </c>
      <c r="G45" s="118"/>
      <c r="H45" s="456">
        <v>-50</v>
      </c>
      <c r="I45" s="456">
        <v>-50</v>
      </c>
      <c r="J45" s="456">
        <v>-50</v>
      </c>
      <c r="K45" s="869">
        <v>-50</v>
      </c>
      <c r="L45" s="461"/>
      <c r="M45" s="867"/>
      <c r="N45" s="866" t="s">
        <v>71</v>
      </c>
      <c r="O45" s="830"/>
    </row>
    <row r="46" spans="2:15" s="789" customFormat="1" ht="26.65" x14ac:dyDescent="0.45">
      <c r="B46" s="687" t="s">
        <v>1016</v>
      </c>
      <c r="C46" s="118"/>
      <c r="D46" s="118"/>
      <c r="E46" s="118">
        <v>12</v>
      </c>
      <c r="F46" s="864">
        <v>100</v>
      </c>
      <c r="G46" s="118"/>
      <c r="H46" s="456">
        <v>-228</v>
      </c>
      <c r="I46" s="456">
        <v>-228</v>
      </c>
      <c r="J46" s="456">
        <v>-228</v>
      </c>
      <c r="K46" s="869">
        <v>-228</v>
      </c>
      <c r="L46" s="461"/>
      <c r="M46" s="867"/>
      <c r="N46" s="866" t="s">
        <v>71</v>
      </c>
      <c r="O46" s="830"/>
    </row>
    <row r="47" spans="2:15" ht="14.25" x14ac:dyDescent="0.45">
      <c r="B47" s="687" t="s">
        <v>1062</v>
      </c>
      <c r="C47" s="118"/>
      <c r="D47" s="118"/>
      <c r="E47" s="118">
        <v>12</v>
      </c>
      <c r="F47" s="864">
        <v>100</v>
      </c>
      <c r="G47" s="118"/>
      <c r="H47" s="456">
        <v>-500</v>
      </c>
      <c r="I47" s="456">
        <v>0</v>
      </c>
      <c r="J47" s="456">
        <v>0</v>
      </c>
      <c r="K47" s="869">
        <v>0</v>
      </c>
      <c r="L47" s="461"/>
      <c r="M47" s="867"/>
      <c r="N47" s="866" t="s">
        <v>71</v>
      </c>
    </row>
    <row r="48" spans="2:15" ht="14.25" x14ac:dyDescent="0.45">
      <c r="B48" s="839"/>
      <c r="C48" s="718"/>
      <c r="D48" s="718"/>
      <c r="E48" s="741"/>
      <c r="F48" s="741"/>
      <c r="G48" s="755"/>
      <c r="H48" s="481"/>
      <c r="I48" s="481"/>
      <c r="J48" s="481"/>
      <c r="K48" s="685"/>
      <c r="L48" s="685"/>
      <c r="M48" s="844"/>
      <c r="N48" s="842"/>
    </row>
    <row r="49" spans="2:14" ht="14.25" x14ac:dyDescent="0.45">
      <c r="B49" s="622" t="s">
        <v>139</v>
      </c>
      <c r="C49" s="718"/>
      <c r="D49" s="718"/>
      <c r="E49" s="741"/>
      <c r="F49" s="741"/>
      <c r="G49" s="755"/>
      <c r="H49" s="481"/>
      <c r="I49" s="481"/>
      <c r="J49" s="481"/>
      <c r="K49" s="685"/>
      <c r="L49" s="835"/>
      <c r="M49" s="844"/>
      <c r="N49" s="842"/>
    </row>
    <row r="50" spans="2:14" ht="14.25" x14ac:dyDescent="0.45">
      <c r="B50" s="621" t="s">
        <v>502</v>
      </c>
      <c r="C50" s="718"/>
      <c r="D50" s="718"/>
      <c r="E50" s="741">
        <v>13</v>
      </c>
      <c r="F50" s="741">
        <v>100</v>
      </c>
      <c r="G50" s="755"/>
      <c r="H50" s="481">
        <v>-260</v>
      </c>
      <c r="I50" s="481">
        <v>-260</v>
      </c>
      <c r="J50" s="481">
        <v>-260</v>
      </c>
      <c r="K50" s="685">
        <v>-260</v>
      </c>
      <c r="L50" s="685">
        <v>2195</v>
      </c>
      <c r="M50" s="844"/>
      <c r="N50" s="842"/>
    </row>
    <row r="51" spans="2:14" ht="14.25" x14ac:dyDescent="0.45">
      <c r="B51" s="621" t="s">
        <v>1088</v>
      </c>
      <c r="C51" s="718"/>
      <c r="D51" s="718"/>
      <c r="E51" s="741">
        <v>13</v>
      </c>
      <c r="F51" s="741">
        <v>100</v>
      </c>
      <c r="G51" s="755"/>
      <c r="H51" s="481">
        <v>-190</v>
      </c>
      <c r="I51" s="481">
        <v>-190</v>
      </c>
      <c r="J51" s="481">
        <v>-190</v>
      </c>
      <c r="K51" s="685">
        <v>-190</v>
      </c>
      <c r="L51" s="685">
        <v>2195</v>
      </c>
      <c r="M51" s="844"/>
      <c r="N51" s="842" t="s">
        <v>71</v>
      </c>
    </row>
    <row r="52" spans="2:14" ht="14.25" x14ac:dyDescent="0.45">
      <c r="B52" s="621" t="s">
        <v>501</v>
      </c>
      <c r="C52" s="718"/>
      <c r="D52" s="718"/>
      <c r="E52" s="741">
        <v>13</v>
      </c>
      <c r="F52" s="741">
        <v>100</v>
      </c>
      <c r="G52" s="755"/>
      <c r="H52" s="481">
        <v>-201</v>
      </c>
      <c r="I52" s="481">
        <v>-201</v>
      </c>
      <c r="J52" s="481">
        <v>-201</v>
      </c>
      <c r="K52" s="685">
        <v>-201</v>
      </c>
      <c r="L52" s="685">
        <v>1508</v>
      </c>
      <c r="M52" s="844"/>
      <c r="N52" s="842"/>
    </row>
    <row r="53" spans="2:14" ht="14.25" x14ac:dyDescent="0.45">
      <c r="B53" s="621" t="s">
        <v>546</v>
      </c>
      <c r="C53" s="718"/>
      <c r="D53" s="718"/>
      <c r="E53" s="741">
        <v>13</v>
      </c>
      <c r="F53" s="741">
        <v>100</v>
      </c>
      <c r="G53" s="755"/>
      <c r="H53" s="481">
        <v>-100</v>
      </c>
      <c r="I53" s="481">
        <v>-100</v>
      </c>
      <c r="J53" s="481">
        <v>-100</v>
      </c>
      <c r="K53" s="685">
        <v>-100</v>
      </c>
      <c r="L53" s="685">
        <v>344</v>
      </c>
      <c r="M53" s="844"/>
      <c r="N53" s="842" t="s">
        <v>71</v>
      </c>
    </row>
    <row r="54" spans="2:14" ht="14.25" x14ac:dyDescent="0.45">
      <c r="B54" s="621" t="s">
        <v>547</v>
      </c>
      <c r="C54" s="718"/>
      <c r="D54" s="718"/>
      <c r="E54" s="741">
        <v>13</v>
      </c>
      <c r="F54" s="741">
        <v>100</v>
      </c>
      <c r="G54" s="755"/>
      <c r="H54" s="481">
        <v>-70</v>
      </c>
      <c r="I54" s="481">
        <v>-70</v>
      </c>
      <c r="J54" s="481">
        <v>-70</v>
      </c>
      <c r="K54" s="685">
        <v>-70</v>
      </c>
      <c r="L54" s="685">
        <v>70</v>
      </c>
      <c r="M54" s="844"/>
      <c r="N54" s="842" t="s">
        <v>71</v>
      </c>
    </row>
    <row r="55" spans="2:14" s="619" customFormat="1" ht="14.25" x14ac:dyDescent="0.45">
      <c r="B55" s="690"/>
      <c r="C55" s="691"/>
      <c r="D55" s="691"/>
      <c r="E55" s="769"/>
      <c r="F55" s="769"/>
      <c r="G55" s="768"/>
      <c r="H55" s="481"/>
      <c r="I55" s="481"/>
      <c r="J55" s="481"/>
      <c r="K55" s="685"/>
      <c r="L55" s="836"/>
      <c r="M55" s="846"/>
      <c r="N55" s="842"/>
    </row>
    <row r="56" spans="2:14" ht="14.25" x14ac:dyDescent="0.45">
      <c r="B56" s="612" t="s">
        <v>157</v>
      </c>
      <c r="C56" s="718"/>
      <c r="D56" s="718"/>
      <c r="E56" s="741"/>
      <c r="F56" s="741"/>
      <c r="G56" s="755"/>
      <c r="H56" s="481"/>
      <c r="I56" s="481"/>
      <c r="J56" s="481"/>
      <c r="K56" s="685"/>
      <c r="L56" s="685"/>
      <c r="M56" s="844"/>
      <c r="N56" s="842"/>
    </row>
    <row r="57" spans="2:14" ht="15" customHeight="1" x14ac:dyDescent="0.45">
      <c r="B57" s="621" t="s">
        <v>542</v>
      </c>
      <c r="C57" s="718"/>
      <c r="D57" s="718"/>
      <c r="E57" s="741">
        <v>21</v>
      </c>
      <c r="F57" s="741">
        <v>100</v>
      </c>
      <c r="G57" s="755"/>
      <c r="H57" s="481">
        <v>-200</v>
      </c>
      <c r="I57" s="481">
        <v>-200</v>
      </c>
      <c r="J57" s="481">
        <v>-200</v>
      </c>
      <c r="K57" s="685">
        <v>-200</v>
      </c>
      <c r="L57" s="685">
        <v>2600</v>
      </c>
      <c r="M57" s="844"/>
      <c r="N57" s="842" t="s">
        <v>71</v>
      </c>
    </row>
    <row r="58" spans="2:14" s="619" customFormat="1" ht="14.25" x14ac:dyDescent="0.45">
      <c r="B58" s="690"/>
      <c r="C58" s="691"/>
      <c r="D58" s="691"/>
      <c r="E58" s="769"/>
      <c r="F58" s="769"/>
      <c r="G58" s="768"/>
      <c r="H58" s="481"/>
      <c r="I58" s="481"/>
      <c r="J58" s="481"/>
      <c r="K58" s="685"/>
      <c r="L58" s="836"/>
      <c r="M58" s="846"/>
      <c r="N58" s="842"/>
    </row>
    <row r="59" spans="2:14" ht="14.25" x14ac:dyDescent="0.45">
      <c r="B59" s="622" t="s">
        <v>135</v>
      </c>
      <c r="C59" s="718"/>
      <c r="D59" s="718"/>
      <c r="E59" s="741"/>
      <c r="F59" s="741"/>
      <c r="G59" s="755"/>
      <c r="H59" s="481"/>
      <c r="I59" s="481"/>
      <c r="J59" s="481"/>
      <c r="K59" s="685"/>
      <c r="L59" s="685"/>
      <c r="M59" s="844"/>
      <c r="N59" s="842"/>
    </row>
    <row r="60" spans="2:14" ht="15" customHeight="1" x14ac:dyDescent="0.45">
      <c r="B60" s="621" t="s">
        <v>1084</v>
      </c>
      <c r="C60" s="718"/>
      <c r="D60" s="718"/>
      <c r="E60" s="741">
        <v>23</v>
      </c>
      <c r="F60" s="741">
        <v>100</v>
      </c>
      <c r="G60" s="755"/>
      <c r="H60" s="481">
        <v>-50</v>
      </c>
      <c r="I60" s="481">
        <v>-50</v>
      </c>
      <c r="J60" s="481">
        <v>-50</v>
      </c>
      <c r="K60" s="685">
        <v>-50</v>
      </c>
      <c r="L60" s="685">
        <v>3397</v>
      </c>
      <c r="M60" s="844"/>
      <c r="N60" s="842"/>
    </row>
    <row r="61" spans="2:14" ht="15" customHeight="1" x14ac:dyDescent="0.45">
      <c r="B61" s="621" t="s">
        <v>1092</v>
      </c>
      <c r="C61" s="718"/>
      <c r="D61" s="718"/>
      <c r="E61" s="741">
        <v>23</v>
      </c>
      <c r="F61" s="741">
        <v>100</v>
      </c>
      <c r="G61" s="755"/>
      <c r="H61" s="481">
        <v>-27</v>
      </c>
      <c r="I61" s="481">
        <v>-27</v>
      </c>
      <c r="J61" s="481">
        <v>-27</v>
      </c>
      <c r="K61" s="685">
        <v>-27</v>
      </c>
      <c r="L61" s="685"/>
      <c r="M61" s="844"/>
      <c r="N61" s="842" t="s">
        <v>71</v>
      </c>
    </row>
    <row r="62" spans="2:14" ht="14.25" x14ac:dyDescent="0.45">
      <c r="B62" s="670"/>
      <c r="C62" s="618"/>
      <c r="D62" s="618"/>
      <c r="E62" s="769"/>
      <c r="F62" s="769"/>
      <c r="G62" s="768"/>
      <c r="H62" s="481"/>
      <c r="I62" s="481"/>
      <c r="J62" s="481"/>
      <c r="K62" s="685"/>
      <c r="L62" s="685"/>
      <c r="M62" s="845"/>
      <c r="N62" s="842"/>
    </row>
    <row r="63" spans="2:14" ht="14.25" x14ac:dyDescent="0.45">
      <c r="B63" s="612" t="s">
        <v>128</v>
      </c>
      <c r="C63" s="718"/>
      <c r="D63" s="718"/>
      <c r="E63" s="741"/>
      <c r="F63" s="741"/>
      <c r="G63" s="755"/>
      <c r="H63" s="481"/>
      <c r="I63" s="481"/>
      <c r="J63" s="481"/>
      <c r="K63" s="685"/>
      <c r="L63" s="685"/>
      <c r="M63" s="844"/>
      <c r="N63" s="842"/>
    </row>
    <row r="64" spans="2:14" ht="14.25" x14ac:dyDescent="0.45">
      <c r="B64" s="621" t="s">
        <v>742</v>
      </c>
      <c r="C64" s="616"/>
      <c r="D64" s="616"/>
      <c r="E64" s="770"/>
      <c r="F64" s="770"/>
      <c r="G64" s="755"/>
      <c r="H64" s="481"/>
      <c r="I64" s="481"/>
      <c r="J64" s="481"/>
      <c r="K64" s="685"/>
      <c r="L64" s="685"/>
      <c r="M64" s="844"/>
      <c r="N64" s="842"/>
    </row>
    <row r="65" spans="2:15" ht="14.25" x14ac:dyDescent="0.45">
      <c r="B65" s="621"/>
      <c r="C65" s="616"/>
      <c r="D65" s="616"/>
      <c r="E65" s="770"/>
      <c r="F65" s="770"/>
      <c r="G65" s="755"/>
      <c r="H65" s="481"/>
      <c r="I65" s="481"/>
      <c r="J65" s="481"/>
      <c r="K65" s="685"/>
      <c r="L65" s="685"/>
      <c r="M65" s="844"/>
      <c r="N65" s="842"/>
    </row>
    <row r="66" spans="2:15" ht="14.25" x14ac:dyDescent="0.45">
      <c r="B66" s="612" t="s">
        <v>58</v>
      </c>
      <c r="C66" s="718"/>
      <c r="D66" s="718"/>
      <c r="E66" s="741"/>
      <c r="F66" s="741"/>
      <c r="G66" s="755"/>
      <c r="H66" s="481"/>
      <c r="I66" s="481"/>
      <c r="J66" s="481"/>
      <c r="K66" s="685"/>
      <c r="L66" s="685"/>
      <c r="M66" s="844"/>
      <c r="N66" s="842"/>
    </row>
    <row r="67" spans="2:15" ht="14.25" x14ac:dyDescent="0.45">
      <c r="B67" s="621" t="s">
        <v>569</v>
      </c>
      <c r="C67" s="616"/>
      <c r="D67" s="616"/>
      <c r="E67" s="741">
        <v>28</v>
      </c>
      <c r="F67" s="741">
        <v>100</v>
      </c>
      <c r="G67" s="755"/>
      <c r="H67" s="481">
        <v>-16</v>
      </c>
      <c r="I67" s="481">
        <v>-16</v>
      </c>
      <c r="J67" s="481">
        <v>-16</v>
      </c>
      <c r="K67" s="685">
        <v>-16</v>
      </c>
      <c r="L67" s="685">
        <v>459</v>
      </c>
      <c r="M67" s="844"/>
      <c r="N67" s="842" t="s">
        <v>71</v>
      </c>
    </row>
    <row r="68" spans="2:15" s="619" customFormat="1" ht="14.25" x14ac:dyDescent="0.45">
      <c r="B68" s="690"/>
      <c r="C68" s="691"/>
      <c r="D68" s="691"/>
      <c r="E68" s="769"/>
      <c r="F68" s="769"/>
      <c r="G68" s="768"/>
      <c r="H68" s="481"/>
      <c r="I68" s="481"/>
      <c r="J68" s="481"/>
      <c r="K68" s="685"/>
      <c r="L68" s="836"/>
      <c r="M68" s="846"/>
      <c r="N68" s="842"/>
    </row>
    <row r="69" spans="2:15" ht="14.25" x14ac:dyDescent="0.45">
      <c r="B69" s="612" t="s">
        <v>292</v>
      </c>
      <c r="C69" s="624"/>
      <c r="D69" s="624"/>
      <c r="E69" s="771"/>
      <c r="F69" s="771"/>
      <c r="G69" s="772"/>
      <c r="H69" s="481"/>
      <c r="I69" s="481"/>
      <c r="J69" s="481"/>
      <c r="K69" s="685"/>
      <c r="L69" s="685"/>
      <c r="M69" s="844"/>
      <c r="N69" s="842"/>
    </row>
    <row r="70" spans="2:15" ht="14.25" x14ac:dyDescent="0.45">
      <c r="B70" s="615" t="s">
        <v>649</v>
      </c>
      <c r="C70" s="718"/>
      <c r="D70" s="718"/>
      <c r="E70" s="741">
        <v>31</v>
      </c>
      <c r="F70" s="741">
        <v>100</v>
      </c>
      <c r="G70" s="755"/>
      <c r="H70" s="481">
        <v>-50</v>
      </c>
      <c r="I70" s="481">
        <v>-50</v>
      </c>
      <c r="J70" s="481">
        <v>-50</v>
      </c>
      <c r="K70" s="685">
        <v>-50</v>
      </c>
      <c r="L70" s="685">
        <v>733</v>
      </c>
      <c r="M70" s="844"/>
      <c r="N70" s="842" t="s">
        <v>71</v>
      </c>
    </row>
    <row r="71" spans="2:15" s="619" customFormat="1" ht="14.25" x14ac:dyDescent="0.45">
      <c r="B71" s="687"/>
      <c r="C71" s="616"/>
      <c r="D71" s="616"/>
      <c r="E71" s="741"/>
      <c r="F71" s="741"/>
      <c r="G71" s="755"/>
      <c r="H71" s="481"/>
      <c r="I71" s="481"/>
      <c r="J71" s="481"/>
      <c r="K71" s="685"/>
      <c r="L71" s="685"/>
      <c r="M71" s="847"/>
      <c r="N71" s="842"/>
    </row>
    <row r="72" spans="2:15" ht="14.25" x14ac:dyDescent="0.45">
      <c r="B72" s="670"/>
      <c r="C72" s="718"/>
      <c r="D72" s="718"/>
      <c r="E72" s="741"/>
      <c r="F72" s="741"/>
      <c r="G72" s="755"/>
      <c r="H72" s="481"/>
      <c r="I72" s="481"/>
      <c r="J72" s="481"/>
      <c r="K72" s="685"/>
      <c r="L72" s="685"/>
      <c r="M72" s="844"/>
      <c r="N72" s="842"/>
    </row>
    <row r="73" spans="2:15" ht="14.25" x14ac:dyDescent="0.45">
      <c r="B73" s="612" t="s">
        <v>294</v>
      </c>
      <c r="C73" s="718"/>
      <c r="D73" s="718"/>
      <c r="E73" s="741"/>
      <c r="F73" s="741"/>
      <c r="G73" s="755"/>
      <c r="H73" s="481"/>
      <c r="I73" s="481"/>
      <c r="J73" s="481"/>
      <c r="K73" s="685"/>
      <c r="L73" s="685"/>
      <c r="M73" s="844"/>
      <c r="N73" s="842"/>
    </row>
    <row r="74" spans="2:15" ht="14" customHeight="1" x14ac:dyDescent="0.45">
      <c r="B74" s="615" t="s">
        <v>650</v>
      </c>
      <c r="C74" s="718"/>
      <c r="D74" s="718"/>
      <c r="E74" s="741">
        <v>32</v>
      </c>
      <c r="F74" s="741">
        <v>100</v>
      </c>
      <c r="G74" s="755"/>
      <c r="H74" s="481">
        <v>-869</v>
      </c>
      <c r="I74" s="481">
        <v>-869</v>
      </c>
      <c r="J74" s="481">
        <v>-869</v>
      </c>
      <c r="K74" s="685">
        <v>-869</v>
      </c>
      <c r="L74" s="685">
        <v>117500</v>
      </c>
      <c r="M74" s="844"/>
      <c r="N74" s="842" t="s">
        <v>71</v>
      </c>
    </row>
    <row r="75" spans="2:15" ht="16.25" customHeight="1" x14ac:dyDescent="0.45">
      <c r="B75" s="870" t="s">
        <v>651</v>
      </c>
      <c r="C75" s="391"/>
      <c r="D75" s="391"/>
      <c r="E75" s="864">
        <v>32</v>
      </c>
      <c r="F75" s="864">
        <v>100</v>
      </c>
      <c r="G75" s="392"/>
      <c r="H75" s="736">
        <v>-3790</v>
      </c>
      <c r="I75" s="736">
        <v>-3790</v>
      </c>
      <c r="J75" s="736">
        <v>-3790</v>
      </c>
      <c r="K75" s="737">
        <v>-3790</v>
      </c>
      <c r="L75" s="737">
        <v>323935</v>
      </c>
      <c r="M75" s="879"/>
      <c r="N75" s="866" t="s">
        <v>71</v>
      </c>
      <c r="O75" s="600"/>
    </row>
    <row r="76" spans="2:15" ht="28.25" customHeight="1" x14ac:dyDescent="0.45">
      <c r="B76" s="870" t="s">
        <v>652</v>
      </c>
      <c r="C76" s="391"/>
      <c r="D76" s="391"/>
      <c r="E76" s="864">
        <v>32</v>
      </c>
      <c r="F76" s="864">
        <v>100</v>
      </c>
      <c r="G76" s="392"/>
      <c r="H76" s="736">
        <v>-1400</v>
      </c>
      <c r="I76" s="736">
        <v>-1400</v>
      </c>
      <c r="J76" s="736">
        <v>-1400</v>
      </c>
      <c r="K76" s="737">
        <v>-1400</v>
      </c>
      <c r="L76" s="737">
        <v>3403</v>
      </c>
      <c r="M76" s="879"/>
      <c r="N76" s="866" t="s">
        <v>71</v>
      </c>
    </row>
    <row r="77" spans="2:15" ht="17.45" customHeight="1" x14ac:dyDescent="0.45">
      <c r="B77" s="870" t="s">
        <v>653</v>
      </c>
      <c r="C77" s="391"/>
      <c r="D77" s="391"/>
      <c r="E77" s="864">
        <v>32</v>
      </c>
      <c r="F77" s="864">
        <v>100</v>
      </c>
      <c r="G77" s="392"/>
      <c r="H77" s="736">
        <v>-500</v>
      </c>
      <c r="I77" s="736">
        <v>-500</v>
      </c>
      <c r="J77" s="736">
        <v>-500</v>
      </c>
      <c r="K77" s="737">
        <v>-500</v>
      </c>
      <c r="L77" s="737">
        <v>84000</v>
      </c>
      <c r="M77" s="879"/>
      <c r="N77" s="866" t="s">
        <v>71</v>
      </c>
      <c r="O77" s="600"/>
    </row>
    <row r="78" spans="2:15" s="619" customFormat="1" ht="14.25" x14ac:dyDescent="0.45">
      <c r="B78" s="621"/>
      <c r="C78" s="871"/>
      <c r="D78" s="871"/>
      <c r="E78" s="880"/>
      <c r="F78" s="880"/>
      <c r="G78" s="872"/>
      <c r="H78" s="736"/>
      <c r="I78" s="736"/>
      <c r="J78" s="736"/>
      <c r="K78" s="737"/>
      <c r="L78" s="836"/>
      <c r="M78" s="881"/>
      <c r="N78" s="866"/>
      <c r="O78" s="742"/>
    </row>
    <row r="79" spans="2:15" ht="14.25" x14ac:dyDescent="0.45">
      <c r="B79" s="882" t="s">
        <v>295</v>
      </c>
      <c r="C79" s="458"/>
      <c r="D79" s="458"/>
      <c r="E79" s="864"/>
      <c r="F79" s="883"/>
      <c r="G79" s="392"/>
      <c r="H79" s="736"/>
      <c r="I79" s="736"/>
      <c r="J79" s="736"/>
      <c r="K79" s="737"/>
      <c r="L79" s="737"/>
      <c r="M79" s="865"/>
      <c r="N79" s="866"/>
    </row>
    <row r="80" spans="2:15" ht="14.25" x14ac:dyDescent="0.45">
      <c r="B80" s="884" t="s">
        <v>741</v>
      </c>
      <c r="C80" s="391"/>
      <c r="D80" s="391"/>
      <c r="E80" s="864"/>
      <c r="F80" s="864"/>
      <c r="G80" s="392"/>
      <c r="H80" s="736"/>
      <c r="I80" s="736"/>
      <c r="J80" s="736"/>
      <c r="K80" s="737"/>
      <c r="L80" s="737"/>
      <c r="M80" s="865"/>
      <c r="N80" s="866"/>
    </row>
    <row r="81" spans="2:15" ht="14.25" x14ac:dyDescent="0.45">
      <c r="B81" s="884"/>
      <c r="C81" s="391"/>
      <c r="D81" s="391"/>
      <c r="E81" s="864"/>
      <c r="F81" s="864"/>
      <c r="G81" s="392"/>
      <c r="H81" s="736"/>
      <c r="I81" s="736"/>
      <c r="J81" s="736"/>
      <c r="K81" s="737"/>
      <c r="L81" s="737"/>
      <c r="M81" s="865"/>
      <c r="N81" s="866"/>
    </row>
    <row r="82" spans="2:15" ht="14.25" x14ac:dyDescent="0.45">
      <c r="B82" s="882" t="s">
        <v>63</v>
      </c>
      <c r="C82" s="458"/>
      <c r="D82" s="458"/>
      <c r="E82" s="883"/>
      <c r="F82" s="883"/>
      <c r="G82" s="459"/>
      <c r="H82" s="736"/>
      <c r="I82" s="736"/>
      <c r="J82" s="736"/>
      <c r="K82" s="737"/>
      <c r="L82" s="737"/>
      <c r="M82" s="865"/>
      <c r="N82" s="866"/>
    </row>
    <row r="83" spans="2:15" ht="16.5" customHeight="1" x14ac:dyDescent="0.45">
      <c r="B83" s="870" t="s">
        <v>1072</v>
      </c>
      <c r="C83" s="871"/>
      <c r="D83" s="871"/>
      <c r="E83" s="864"/>
      <c r="F83" s="864"/>
      <c r="G83" s="872"/>
      <c r="H83" s="736"/>
      <c r="I83" s="736"/>
      <c r="J83" s="736"/>
      <c r="K83" s="737"/>
      <c r="L83" s="737"/>
      <c r="M83" s="881"/>
      <c r="N83" s="866"/>
    </row>
    <row r="84" spans="2:15" ht="16.5" customHeight="1" x14ac:dyDescent="0.45">
      <c r="B84" s="870" t="s">
        <v>584</v>
      </c>
      <c r="C84" s="871"/>
      <c r="D84" s="871"/>
      <c r="E84" s="864">
        <v>34</v>
      </c>
      <c r="F84" s="864">
        <v>100</v>
      </c>
      <c r="G84" s="872"/>
      <c r="H84" s="736">
        <v>-3018</v>
      </c>
      <c r="I84" s="736">
        <v>-3018</v>
      </c>
      <c r="J84" s="736">
        <v>-3018</v>
      </c>
      <c r="K84" s="737">
        <v>-3018</v>
      </c>
      <c r="L84" s="737">
        <v>260931</v>
      </c>
      <c r="M84" s="881"/>
      <c r="N84" s="866"/>
    </row>
    <row r="85" spans="2:15" ht="16.5" customHeight="1" x14ac:dyDescent="0.45">
      <c r="B85" s="870" t="s">
        <v>755</v>
      </c>
      <c r="C85" s="871"/>
      <c r="D85" s="871"/>
      <c r="E85" s="864">
        <v>34</v>
      </c>
      <c r="F85" s="864">
        <v>100</v>
      </c>
      <c r="G85" s="872"/>
      <c r="H85" s="736">
        <v>-3018</v>
      </c>
      <c r="I85" s="736">
        <v>-3018</v>
      </c>
      <c r="J85" s="736">
        <v>-3018</v>
      </c>
      <c r="K85" s="737">
        <v>-3018</v>
      </c>
      <c r="L85" s="737">
        <v>260931</v>
      </c>
      <c r="M85" s="881"/>
      <c r="N85" s="866"/>
    </row>
    <row r="86" spans="2:15" ht="14.25" x14ac:dyDescent="0.45">
      <c r="B86" s="870" t="s">
        <v>564</v>
      </c>
      <c r="C86" s="391"/>
      <c r="D86" s="391"/>
      <c r="E86" s="864">
        <v>34</v>
      </c>
      <c r="F86" s="864">
        <v>100</v>
      </c>
      <c r="G86" s="392"/>
      <c r="H86" s="736">
        <v>-223</v>
      </c>
      <c r="I86" s="736">
        <v>-210</v>
      </c>
      <c r="J86" s="736">
        <v>-210</v>
      </c>
      <c r="K86" s="737">
        <v>-210</v>
      </c>
      <c r="L86" s="737">
        <v>223</v>
      </c>
      <c r="M86" s="865"/>
      <c r="N86" s="866" t="s">
        <v>71</v>
      </c>
      <c r="O86" s="600"/>
    </row>
    <row r="87" spans="2:15" ht="14.25" x14ac:dyDescent="0.45">
      <c r="B87" s="870" t="s">
        <v>1046</v>
      </c>
      <c r="C87" s="391"/>
      <c r="D87" s="391"/>
      <c r="E87" s="864">
        <v>34</v>
      </c>
      <c r="F87" s="864">
        <v>100</v>
      </c>
      <c r="G87" s="392"/>
      <c r="H87" s="736">
        <v>-2000</v>
      </c>
      <c r="I87" s="736">
        <v>-2000</v>
      </c>
      <c r="J87" s="736">
        <v>-2000</v>
      </c>
      <c r="K87" s="737">
        <v>-2000</v>
      </c>
      <c r="L87" s="737"/>
      <c r="M87" s="865"/>
      <c r="N87" s="866" t="s">
        <v>71</v>
      </c>
    </row>
    <row r="88" spans="2:15" ht="14.25" x14ac:dyDescent="0.45">
      <c r="B88" s="870"/>
      <c r="C88" s="885"/>
      <c r="D88" s="885"/>
      <c r="E88" s="885"/>
      <c r="F88" s="885"/>
      <c r="G88" s="885"/>
      <c r="H88" s="736"/>
      <c r="I88" s="736"/>
      <c r="J88" s="736"/>
      <c r="K88" s="737"/>
      <c r="L88" s="737"/>
      <c r="M88" s="865"/>
      <c r="N88" s="866"/>
    </row>
    <row r="89" spans="2:15" ht="14.25" x14ac:dyDescent="0.45">
      <c r="B89" s="882" t="s">
        <v>69</v>
      </c>
      <c r="C89" s="885"/>
      <c r="D89" s="885"/>
      <c r="E89" s="885"/>
      <c r="F89" s="885"/>
      <c r="G89" s="885"/>
      <c r="H89" s="736"/>
      <c r="I89" s="736"/>
      <c r="J89" s="736"/>
      <c r="K89" s="737"/>
      <c r="L89" s="874"/>
      <c r="M89" s="865"/>
      <c r="N89" s="866"/>
    </row>
    <row r="90" spans="2:15" ht="26.65" x14ac:dyDescent="0.45">
      <c r="B90" s="870" t="s">
        <v>526</v>
      </c>
      <c r="C90" s="871"/>
      <c r="D90" s="871"/>
      <c r="E90" s="864">
        <v>35</v>
      </c>
      <c r="F90" s="864">
        <v>100</v>
      </c>
      <c r="G90" s="872"/>
      <c r="H90" s="736">
        <v>-3000</v>
      </c>
      <c r="I90" s="736">
        <v>-3000</v>
      </c>
      <c r="J90" s="736">
        <v>-3000</v>
      </c>
      <c r="K90" s="737">
        <v>-3000</v>
      </c>
      <c r="L90" s="737">
        <v>3000</v>
      </c>
      <c r="M90" s="881"/>
      <c r="N90" s="866" t="s">
        <v>71</v>
      </c>
    </row>
    <row r="91" spans="2:15" ht="14.25" x14ac:dyDescent="0.45">
      <c r="B91" s="870"/>
      <c r="C91" s="391"/>
      <c r="D91" s="391"/>
      <c r="E91" s="864"/>
      <c r="F91" s="864"/>
      <c r="G91" s="392"/>
      <c r="H91" s="736"/>
      <c r="I91" s="736"/>
      <c r="J91" s="736"/>
      <c r="K91" s="737"/>
      <c r="L91" s="737"/>
      <c r="M91" s="865"/>
      <c r="N91" s="866"/>
    </row>
    <row r="92" spans="2:15" s="619" customFormat="1" ht="14.25" x14ac:dyDescent="0.45">
      <c r="B92" s="870"/>
      <c r="C92" s="871"/>
      <c r="D92" s="871"/>
      <c r="E92" s="864"/>
      <c r="F92" s="864"/>
      <c r="G92" s="872"/>
      <c r="H92" s="736"/>
      <c r="I92" s="736"/>
      <c r="J92" s="736"/>
      <c r="K92" s="737"/>
      <c r="L92" s="737"/>
      <c r="M92" s="881"/>
      <c r="N92" s="866"/>
    </row>
    <row r="93" spans="2:15" s="619" customFormat="1" ht="14.25" x14ac:dyDescent="0.45">
      <c r="B93" s="882" t="s">
        <v>433</v>
      </c>
      <c r="C93" s="871"/>
      <c r="D93" s="871"/>
      <c r="E93" s="864"/>
      <c r="F93" s="864"/>
      <c r="G93" s="872"/>
      <c r="H93" s="736"/>
      <c r="I93" s="736"/>
      <c r="J93" s="736"/>
      <c r="K93" s="737"/>
      <c r="L93" s="737"/>
      <c r="M93" s="881"/>
      <c r="N93" s="866"/>
    </row>
    <row r="94" spans="2:15" s="619" customFormat="1" ht="14.25" x14ac:dyDescent="0.45">
      <c r="B94" s="870" t="s">
        <v>521</v>
      </c>
      <c r="C94" s="871"/>
      <c r="D94" s="871"/>
      <c r="E94" s="864">
        <v>38</v>
      </c>
      <c r="F94" s="864">
        <v>100</v>
      </c>
      <c r="G94" s="872"/>
      <c r="H94" s="736">
        <v>-123</v>
      </c>
      <c r="I94" s="736">
        <v>-123</v>
      </c>
      <c r="J94" s="736">
        <v>-123</v>
      </c>
      <c r="K94" s="737">
        <v>-123</v>
      </c>
      <c r="L94" s="737">
        <v>123</v>
      </c>
      <c r="M94" s="881"/>
      <c r="N94" s="866" t="s">
        <v>71</v>
      </c>
    </row>
    <row r="95" spans="2:15" s="619" customFormat="1" ht="14.25" x14ac:dyDescent="0.45">
      <c r="B95" s="870" t="s">
        <v>522</v>
      </c>
      <c r="C95" s="871"/>
      <c r="D95" s="871"/>
      <c r="E95" s="864">
        <v>38</v>
      </c>
      <c r="F95" s="864">
        <v>100</v>
      </c>
      <c r="G95" s="872"/>
      <c r="H95" s="736">
        <v>-188</v>
      </c>
      <c r="I95" s="736">
        <v>-188</v>
      </c>
      <c r="J95" s="736">
        <v>-188</v>
      </c>
      <c r="K95" s="737">
        <v>-188</v>
      </c>
      <c r="L95" s="737">
        <v>4638</v>
      </c>
      <c r="M95" s="881"/>
      <c r="N95" s="866" t="s">
        <v>71</v>
      </c>
    </row>
    <row r="96" spans="2:15" s="789" customFormat="1" ht="14.25" x14ac:dyDescent="0.45">
      <c r="B96" s="621" t="s">
        <v>1070</v>
      </c>
      <c r="C96" s="118"/>
      <c r="D96" s="118"/>
      <c r="E96" s="864">
        <v>38</v>
      </c>
      <c r="F96" s="864">
        <v>100</v>
      </c>
      <c r="G96" s="118"/>
      <c r="H96" s="864">
        <v>-750</v>
      </c>
      <c r="I96" s="864">
        <v>-500</v>
      </c>
      <c r="J96" s="864">
        <v>-500</v>
      </c>
      <c r="K96" s="868">
        <v>-500</v>
      </c>
      <c r="L96" s="461"/>
      <c r="M96" s="867"/>
      <c r="N96" s="866" t="s">
        <v>71</v>
      </c>
      <c r="O96" s="600"/>
    </row>
    <row r="97" spans="2:15" s="619" customFormat="1" ht="14.25" x14ac:dyDescent="0.45">
      <c r="B97" s="870" t="s">
        <v>636</v>
      </c>
      <c r="C97" s="871"/>
      <c r="D97" s="871"/>
      <c r="E97" s="864">
        <v>38</v>
      </c>
      <c r="F97" s="864">
        <v>100</v>
      </c>
      <c r="G97" s="872"/>
      <c r="H97" s="736">
        <v>0</v>
      </c>
      <c r="I97" s="736">
        <v>0</v>
      </c>
      <c r="J97" s="736">
        <v>0</v>
      </c>
      <c r="K97" s="737">
        <v>0</v>
      </c>
      <c r="L97" s="737"/>
      <c r="M97" s="881"/>
      <c r="N97" s="866" t="s">
        <v>71</v>
      </c>
    </row>
    <row r="98" spans="2:15" s="619" customFormat="1" ht="14.25" x14ac:dyDescent="0.45">
      <c r="B98" s="870" t="s">
        <v>559</v>
      </c>
      <c r="C98" s="871"/>
      <c r="D98" s="871"/>
      <c r="E98" s="864">
        <v>38</v>
      </c>
      <c r="F98" s="864">
        <v>100</v>
      </c>
      <c r="G98" s="872"/>
      <c r="H98" s="736">
        <v>-104</v>
      </c>
      <c r="I98" s="736">
        <v>-104</v>
      </c>
      <c r="J98" s="736">
        <v>-104</v>
      </c>
      <c r="K98" s="737">
        <v>-104</v>
      </c>
      <c r="L98" s="737">
        <v>6907</v>
      </c>
      <c r="M98" s="881"/>
      <c r="N98" s="866" t="s">
        <v>71</v>
      </c>
    </row>
    <row r="99" spans="2:15" s="619" customFormat="1" ht="14.25" x14ac:dyDescent="0.45">
      <c r="B99" s="870" t="s">
        <v>560</v>
      </c>
      <c r="C99" s="871"/>
      <c r="D99" s="871"/>
      <c r="E99" s="864">
        <v>38</v>
      </c>
      <c r="F99" s="864">
        <v>100</v>
      </c>
      <c r="G99" s="872"/>
      <c r="H99" s="736">
        <v>-300</v>
      </c>
      <c r="I99" s="736">
        <v>-300</v>
      </c>
      <c r="J99" s="736">
        <v>-300</v>
      </c>
      <c r="K99" s="737">
        <v>-300</v>
      </c>
      <c r="L99" s="737">
        <v>11246</v>
      </c>
      <c r="M99" s="881"/>
      <c r="N99" s="866" t="s">
        <v>71</v>
      </c>
    </row>
    <row r="100" spans="2:15" ht="13.15" x14ac:dyDescent="0.4">
      <c r="B100" s="886"/>
      <c r="C100" s="887"/>
      <c r="D100" s="887"/>
      <c r="E100" s="873"/>
      <c r="F100" s="873"/>
      <c r="G100" s="888"/>
      <c r="H100" s="736"/>
      <c r="I100" s="736"/>
      <c r="J100" s="736"/>
      <c r="K100" s="737"/>
      <c r="L100" s="737"/>
      <c r="M100" s="865"/>
      <c r="N100" s="866"/>
    </row>
    <row r="101" spans="2:15" ht="14.25" x14ac:dyDescent="0.45">
      <c r="B101" s="882" t="s">
        <v>53</v>
      </c>
      <c r="C101" s="458"/>
      <c r="D101" s="458"/>
      <c r="E101" s="883"/>
      <c r="F101" s="883"/>
      <c r="G101" s="459"/>
      <c r="H101" s="736"/>
      <c r="I101" s="736"/>
      <c r="J101" s="736"/>
      <c r="K101" s="737"/>
      <c r="L101" s="737"/>
      <c r="M101" s="865"/>
      <c r="N101" s="866"/>
    </row>
    <row r="102" spans="2:15" ht="14.25" x14ac:dyDescent="0.45">
      <c r="B102" s="870" t="s">
        <v>1071</v>
      </c>
      <c r="C102" s="391"/>
      <c r="D102" s="391"/>
      <c r="E102" s="864">
        <v>41</v>
      </c>
      <c r="F102" s="864">
        <v>100</v>
      </c>
      <c r="G102" s="392"/>
      <c r="H102" s="736">
        <v>0</v>
      </c>
      <c r="I102" s="736">
        <v>0</v>
      </c>
      <c r="J102" s="736">
        <v>0</v>
      </c>
      <c r="K102" s="737">
        <v>0</v>
      </c>
      <c r="L102" s="737">
        <v>9952</v>
      </c>
      <c r="M102" s="865"/>
      <c r="N102" s="866"/>
    </row>
    <row r="103" spans="2:15" ht="14.25" x14ac:dyDescent="0.45">
      <c r="B103" s="870" t="s">
        <v>565</v>
      </c>
      <c r="C103" s="391"/>
      <c r="D103" s="391"/>
      <c r="E103" s="864">
        <v>41</v>
      </c>
      <c r="F103" s="864">
        <v>100</v>
      </c>
      <c r="G103" s="392"/>
      <c r="H103" s="736">
        <v>-4327</v>
      </c>
      <c r="I103" s="736">
        <v>-4327</v>
      </c>
      <c r="J103" s="736">
        <v>-4327</v>
      </c>
      <c r="K103" s="737">
        <v>-4327</v>
      </c>
      <c r="L103" s="737">
        <v>272987</v>
      </c>
      <c r="M103" s="865"/>
      <c r="N103" s="866"/>
    </row>
    <row r="104" spans="2:15" ht="14.25" x14ac:dyDescent="0.45">
      <c r="B104" s="870"/>
      <c r="C104" s="391"/>
      <c r="D104" s="391"/>
      <c r="E104" s="889"/>
      <c r="F104" s="889"/>
      <c r="G104" s="392"/>
      <c r="H104" s="736"/>
      <c r="I104" s="736"/>
      <c r="J104" s="736"/>
      <c r="K104" s="737"/>
      <c r="L104" s="737"/>
      <c r="M104" s="865"/>
      <c r="N104" s="866"/>
    </row>
    <row r="105" spans="2:15" ht="14.25" x14ac:dyDescent="0.45">
      <c r="B105" s="882" t="s">
        <v>452</v>
      </c>
      <c r="C105" s="458"/>
      <c r="D105" s="458"/>
      <c r="E105" s="883"/>
      <c r="F105" s="883"/>
      <c r="G105" s="459"/>
      <c r="H105" s="736"/>
      <c r="I105" s="736"/>
      <c r="J105" s="736"/>
      <c r="K105" s="737"/>
      <c r="L105" s="737"/>
      <c r="M105" s="865"/>
      <c r="N105" s="866"/>
    </row>
    <row r="106" spans="2:15" ht="14" customHeight="1" x14ac:dyDescent="0.45">
      <c r="B106" s="870" t="s">
        <v>552</v>
      </c>
      <c r="C106" s="458"/>
      <c r="D106" s="458"/>
      <c r="E106" s="864">
        <v>42</v>
      </c>
      <c r="F106" s="864">
        <v>100</v>
      </c>
      <c r="G106" s="459"/>
      <c r="H106" s="736">
        <v>-8093</v>
      </c>
      <c r="I106" s="736">
        <v>-8093</v>
      </c>
      <c r="J106" s="736">
        <v>-8093</v>
      </c>
      <c r="K106" s="737">
        <v>-8093</v>
      </c>
      <c r="L106" s="737">
        <v>215000</v>
      </c>
      <c r="M106" s="865"/>
      <c r="N106" s="866"/>
    </row>
    <row r="107" spans="2:15" ht="14" customHeight="1" x14ac:dyDescent="0.45">
      <c r="B107" s="870" t="s">
        <v>553</v>
      </c>
      <c r="C107" s="458"/>
      <c r="D107" s="458"/>
      <c r="E107" s="864">
        <v>42</v>
      </c>
      <c r="F107" s="864">
        <v>100</v>
      </c>
      <c r="G107" s="459"/>
      <c r="H107" s="736">
        <v>-6217.75</v>
      </c>
      <c r="I107" s="736">
        <v>-6217.75</v>
      </c>
      <c r="J107" s="736">
        <v>-6217.75</v>
      </c>
      <c r="K107" s="737">
        <v>-6217.75</v>
      </c>
      <c r="L107" s="737">
        <v>215000</v>
      </c>
      <c r="M107" s="865"/>
      <c r="N107" s="866"/>
    </row>
    <row r="108" spans="2:15" ht="14" customHeight="1" x14ac:dyDescent="0.45">
      <c r="B108" s="870" t="s">
        <v>554</v>
      </c>
      <c r="C108" s="391"/>
      <c r="D108" s="391"/>
      <c r="E108" s="864">
        <v>42</v>
      </c>
      <c r="F108" s="864">
        <v>100</v>
      </c>
      <c r="G108" s="392"/>
      <c r="H108" s="736">
        <v>-4342.5</v>
      </c>
      <c r="I108" s="736">
        <v>-4342.5</v>
      </c>
      <c r="J108" s="736">
        <v>-4342.5</v>
      </c>
      <c r="K108" s="737">
        <v>-4342.5</v>
      </c>
      <c r="L108" s="737">
        <v>215000</v>
      </c>
      <c r="M108" s="865"/>
      <c r="N108" s="866"/>
    </row>
    <row r="109" spans="2:15" ht="14" customHeight="1" x14ac:dyDescent="0.45">
      <c r="B109" s="870" t="s">
        <v>1077</v>
      </c>
      <c r="C109" s="871"/>
      <c r="D109" s="871"/>
      <c r="E109" s="864">
        <v>42</v>
      </c>
      <c r="F109" s="864">
        <v>100</v>
      </c>
      <c r="G109" s="872"/>
      <c r="H109" s="736">
        <v>-1667</v>
      </c>
      <c r="I109" s="736">
        <v>-2550</v>
      </c>
      <c r="J109" s="736">
        <v>-2550</v>
      </c>
      <c r="K109" s="737">
        <v>-2550</v>
      </c>
      <c r="L109" s="737"/>
      <c r="M109" s="881"/>
      <c r="N109" s="866" t="s">
        <v>71</v>
      </c>
      <c r="O109" s="600"/>
    </row>
    <row r="110" spans="2:15" ht="14" customHeight="1" x14ac:dyDescent="0.45">
      <c r="B110" s="870" t="s">
        <v>1078</v>
      </c>
      <c r="C110" s="871"/>
      <c r="D110" s="871"/>
      <c r="E110" s="864">
        <v>42</v>
      </c>
      <c r="F110" s="864">
        <v>100</v>
      </c>
      <c r="G110" s="872"/>
      <c r="H110" s="736">
        <v>-4000</v>
      </c>
      <c r="I110" s="736">
        <v>-4000</v>
      </c>
      <c r="J110" s="736">
        <v>-4000</v>
      </c>
      <c r="K110" s="737">
        <v>-4000</v>
      </c>
      <c r="L110" s="737"/>
      <c r="M110" s="881"/>
      <c r="N110" s="866" t="s">
        <v>71</v>
      </c>
      <c r="O110" s="600"/>
    </row>
    <row r="111" spans="2:15" ht="39.75" x14ac:dyDescent="0.45">
      <c r="B111" s="870" t="s">
        <v>637</v>
      </c>
      <c r="C111" s="391"/>
      <c r="D111" s="391"/>
      <c r="E111" s="864">
        <v>42</v>
      </c>
      <c r="F111" s="864">
        <v>100</v>
      </c>
      <c r="G111" s="392"/>
      <c r="H111" s="736">
        <v>-300</v>
      </c>
      <c r="I111" s="736">
        <v>-700</v>
      </c>
      <c r="J111" s="736">
        <v>-700</v>
      </c>
      <c r="K111" s="737">
        <v>-700</v>
      </c>
      <c r="L111" s="737">
        <v>128200</v>
      </c>
      <c r="M111" s="865"/>
      <c r="N111" s="866" t="s">
        <v>71</v>
      </c>
    </row>
    <row r="112" spans="2:15" ht="39.75" x14ac:dyDescent="0.45">
      <c r="B112" s="870" t="s">
        <v>638</v>
      </c>
      <c r="C112" s="391"/>
      <c r="D112" s="391"/>
      <c r="E112" s="864">
        <v>44</v>
      </c>
      <c r="F112" s="864">
        <v>100</v>
      </c>
      <c r="G112" s="392"/>
      <c r="H112" s="736">
        <v>-300</v>
      </c>
      <c r="I112" s="736">
        <v>-900</v>
      </c>
      <c r="J112" s="736">
        <v>-900</v>
      </c>
      <c r="K112" s="737">
        <v>-900</v>
      </c>
      <c r="L112" s="737">
        <v>18300</v>
      </c>
      <c r="M112" s="865"/>
      <c r="N112" s="866" t="s">
        <v>71</v>
      </c>
    </row>
    <row r="113" spans="2:17" ht="14" customHeight="1" x14ac:dyDescent="0.45">
      <c r="B113" s="870" t="s">
        <v>555</v>
      </c>
      <c r="C113" s="391"/>
      <c r="D113" s="391"/>
      <c r="E113" s="864">
        <v>42</v>
      </c>
      <c r="F113" s="864">
        <v>100</v>
      </c>
      <c r="G113" s="392"/>
      <c r="H113" s="736">
        <v>-500</v>
      </c>
      <c r="I113" s="736">
        <v>-500</v>
      </c>
      <c r="J113" s="736">
        <v>-500</v>
      </c>
      <c r="K113" s="737">
        <v>-500</v>
      </c>
      <c r="L113" s="737">
        <v>25300</v>
      </c>
      <c r="M113" s="865"/>
      <c r="N113" s="866" t="s">
        <v>71</v>
      </c>
    </row>
    <row r="114" spans="2:17" s="789" customFormat="1" ht="14.25" x14ac:dyDescent="0.45">
      <c r="B114" s="687" t="s">
        <v>1017</v>
      </c>
      <c r="C114" s="118"/>
      <c r="D114" s="118"/>
      <c r="E114" s="118">
        <v>42</v>
      </c>
      <c r="F114" s="864">
        <v>100</v>
      </c>
      <c r="G114" s="118"/>
      <c r="H114" s="118">
        <v>-500</v>
      </c>
      <c r="I114" s="118">
        <v>-500</v>
      </c>
      <c r="J114" s="118">
        <v>-500</v>
      </c>
      <c r="K114" s="171">
        <v>-500</v>
      </c>
      <c r="L114" s="461"/>
      <c r="M114" s="867"/>
      <c r="N114" s="866" t="s">
        <v>71</v>
      </c>
      <c r="O114" s="830"/>
    </row>
    <row r="115" spans="2:17" s="619" customFormat="1" ht="14" customHeight="1" x14ac:dyDescent="0.45">
      <c r="B115" s="870" t="s">
        <v>556</v>
      </c>
      <c r="C115" s="391"/>
      <c r="D115" s="391"/>
      <c r="E115" s="864">
        <v>42</v>
      </c>
      <c r="F115" s="864">
        <v>100</v>
      </c>
      <c r="G115" s="392"/>
      <c r="H115" s="736">
        <v>-1000</v>
      </c>
      <c r="I115" s="736">
        <v>-1000</v>
      </c>
      <c r="J115" s="736">
        <v>-1000</v>
      </c>
      <c r="K115" s="737">
        <v>-1000</v>
      </c>
      <c r="L115" s="737">
        <v>23800</v>
      </c>
      <c r="M115" s="865"/>
      <c r="N115" s="866" t="s">
        <v>71</v>
      </c>
    </row>
    <row r="116" spans="2:17" s="619" customFormat="1" ht="14" customHeight="1" x14ac:dyDescent="0.45">
      <c r="B116" s="870" t="s">
        <v>557</v>
      </c>
      <c r="C116" s="391"/>
      <c r="D116" s="391"/>
      <c r="E116" s="864">
        <v>42</v>
      </c>
      <c r="F116" s="864">
        <v>100</v>
      </c>
      <c r="G116" s="392"/>
      <c r="H116" s="736">
        <v>-928</v>
      </c>
      <c r="I116" s="736">
        <v>-928</v>
      </c>
      <c r="J116" s="736">
        <v>-928</v>
      </c>
      <c r="K116" s="737">
        <v>-928</v>
      </c>
      <c r="L116" s="737">
        <v>86900</v>
      </c>
      <c r="M116" s="865"/>
      <c r="N116" s="866"/>
    </row>
    <row r="117" spans="2:17" s="619" customFormat="1" ht="14" customHeight="1" x14ac:dyDescent="0.45">
      <c r="B117" s="870" t="s">
        <v>558</v>
      </c>
      <c r="C117" s="391"/>
      <c r="D117" s="391"/>
      <c r="E117" s="864">
        <v>42</v>
      </c>
      <c r="F117" s="864">
        <v>100</v>
      </c>
      <c r="G117" s="392"/>
      <c r="H117" s="736">
        <v>-500</v>
      </c>
      <c r="I117" s="736">
        <v>-500</v>
      </c>
      <c r="J117" s="736">
        <v>-500</v>
      </c>
      <c r="K117" s="737">
        <v>-500</v>
      </c>
      <c r="L117" s="737">
        <v>15100</v>
      </c>
      <c r="M117" s="865"/>
      <c r="N117" s="866" t="s">
        <v>71</v>
      </c>
    </row>
    <row r="118" spans="2:17" s="789" customFormat="1" ht="14.25" x14ac:dyDescent="0.45">
      <c r="B118" s="687" t="s">
        <v>1018</v>
      </c>
      <c r="C118" s="118"/>
      <c r="D118" s="118"/>
      <c r="E118" s="118">
        <v>42</v>
      </c>
      <c r="F118" s="864">
        <v>100</v>
      </c>
      <c r="G118" s="118"/>
      <c r="H118" s="118">
        <v>-250</v>
      </c>
      <c r="I118" s="118">
        <v>-250</v>
      </c>
      <c r="J118" s="118">
        <v>-250</v>
      </c>
      <c r="K118" s="171">
        <v>-250</v>
      </c>
      <c r="L118" s="461"/>
      <c r="M118" s="867"/>
      <c r="N118" s="866" t="s">
        <v>71</v>
      </c>
      <c r="O118" s="830"/>
    </row>
    <row r="119" spans="2:17" s="789" customFormat="1" ht="14.25" x14ac:dyDescent="0.45">
      <c r="B119" s="621"/>
      <c r="C119" s="118"/>
      <c r="D119" s="118"/>
      <c r="E119" s="118"/>
      <c r="F119" s="864"/>
      <c r="G119" s="118"/>
      <c r="H119" s="118"/>
      <c r="I119" s="118"/>
      <c r="J119" s="118"/>
      <c r="K119" s="171"/>
      <c r="L119" s="461"/>
      <c r="M119" s="867"/>
      <c r="N119" s="866"/>
      <c r="O119" s="830"/>
    </row>
    <row r="120" spans="2:17" ht="14.25" x14ac:dyDescent="0.45">
      <c r="B120" s="884"/>
      <c r="C120" s="890"/>
      <c r="D120" s="890"/>
      <c r="E120" s="864"/>
      <c r="F120" s="864"/>
      <c r="G120" s="864"/>
      <c r="H120" s="152"/>
      <c r="I120" s="152"/>
      <c r="J120" s="152"/>
      <c r="K120" s="216"/>
      <c r="L120" s="737"/>
      <c r="M120" s="891"/>
      <c r="N120" s="866"/>
    </row>
    <row r="121" spans="2:17" ht="14.25" x14ac:dyDescent="0.45">
      <c r="B121" s="892" t="s">
        <v>103</v>
      </c>
      <c r="C121" s="458"/>
      <c r="D121" s="458"/>
      <c r="E121" s="883"/>
      <c r="F121" s="883"/>
      <c r="G121" s="459"/>
      <c r="H121" s="460"/>
      <c r="I121" s="460"/>
      <c r="J121" s="460"/>
      <c r="K121" s="461"/>
      <c r="L121" s="737"/>
      <c r="M121" s="865"/>
      <c r="N121" s="866"/>
    </row>
    <row r="122" spans="2:17" ht="14.25" x14ac:dyDescent="0.45">
      <c r="B122" s="870" t="s">
        <v>520</v>
      </c>
      <c r="C122" s="391"/>
      <c r="D122" s="391"/>
      <c r="E122" s="864">
        <v>43</v>
      </c>
      <c r="F122" s="864">
        <v>100</v>
      </c>
      <c r="G122" s="392"/>
      <c r="H122" s="736">
        <v>-72</v>
      </c>
      <c r="I122" s="736">
        <v>-72</v>
      </c>
      <c r="J122" s="736">
        <v>-72</v>
      </c>
      <c r="K122" s="737">
        <v>-72</v>
      </c>
      <c r="L122" s="737">
        <f>4757</f>
        <v>4757</v>
      </c>
      <c r="M122" s="865"/>
      <c r="N122" s="866"/>
    </row>
    <row r="123" spans="2:17" ht="14.25" x14ac:dyDescent="0.45">
      <c r="B123" s="870" t="s">
        <v>756</v>
      </c>
      <c r="C123" s="391"/>
      <c r="D123" s="391"/>
      <c r="E123" s="864">
        <v>43</v>
      </c>
      <c r="F123" s="864">
        <v>100</v>
      </c>
      <c r="G123" s="392"/>
      <c r="H123" s="736">
        <v>-40</v>
      </c>
      <c r="I123" s="736">
        <v>-40</v>
      </c>
      <c r="J123" s="736">
        <v>-40</v>
      </c>
      <c r="K123" s="737">
        <v>-40</v>
      </c>
      <c r="L123" s="737">
        <v>459</v>
      </c>
      <c r="M123" s="865"/>
      <c r="N123" s="866"/>
    </row>
    <row r="124" spans="2:17" s="619" customFormat="1" ht="14.25" x14ac:dyDescent="0.45">
      <c r="B124" s="621"/>
      <c r="C124" s="871"/>
      <c r="D124" s="871"/>
      <c r="E124" s="880"/>
      <c r="F124" s="880"/>
      <c r="G124" s="872"/>
      <c r="H124" s="893"/>
      <c r="I124" s="893"/>
      <c r="J124" s="893"/>
      <c r="K124" s="894"/>
      <c r="L124" s="737"/>
      <c r="M124" s="881"/>
      <c r="N124" s="866"/>
    </row>
    <row r="125" spans="2:17" s="623" customFormat="1" ht="15" customHeight="1" x14ac:dyDescent="0.45">
      <c r="B125" s="895"/>
      <c r="C125" s="391"/>
      <c r="D125" s="391"/>
      <c r="E125" s="864"/>
      <c r="F125" s="864"/>
      <c r="G125" s="392"/>
      <c r="H125" s="152"/>
      <c r="I125" s="152"/>
      <c r="J125" s="152"/>
      <c r="K125" s="216"/>
      <c r="L125" s="867"/>
      <c r="M125" s="896"/>
      <c r="N125" s="866"/>
      <c r="O125" s="600"/>
    </row>
    <row r="126" spans="2:17" ht="14.25" x14ac:dyDescent="0.45">
      <c r="B126" s="882" t="s">
        <v>230</v>
      </c>
      <c r="C126" s="458"/>
      <c r="D126" s="458"/>
      <c r="E126" s="883"/>
      <c r="F126" s="883"/>
      <c r="G126" s="459"/>
      <c r="H126" s="460"/>
      <c r="I126" s="460"/>
      <c r="J126" s="460"/>
      <c r="K126" s="461"/>
      <c r="L126" s="737"/>
      <c r="M126" s="865"/>
      <c r="N126" s="866"/>
    </row>
    <row r="127" spans="2:17" ht="14.25" x14ac:dyDescent="0.45">
      <c r="B127" s="621" t="s">
        <v>609</v>
      </c>
      <c r="C127" s="391"/>
      <c r="D127" s="391"/>
      <c r="E127" s="864">
        <v>44</v>
      </c>
      <c r="F127" s="864">
        <v>100</v>
      </c>
      <c r="G127" s="392"/>
      <c r="H127" s="736">
        <v>-1200</v>
      </c>
      <c r="I127" s="736">
        <v>-1200</v>
      </c>
      <c r="J127" s="736">
        <v>-1200</v>
      </c>
      <c r="K127" s="737">
        <v>-1200</v>
      </c>
      <c r="L127" s="737">
        <v>27300</v>
      </c>
      <c r="M127" s="865"/>
      <c r="N127" s="866" t="s">
        <v>71</v>
      </c>
      <c r="O127" s="479"/>
      <c r="P127" s="479"/>
      <c r="Q127" s="479"/>
    </row>
    <row r="128" spans="2:17" ht="14.25" x14ac:dyDescent="0.45">
      <c r="B128" s="621" t="s">
        <v>574</v>
      </c>
      <c r="C128" s="391"/>
      <c r="D128" s="391"/>
      <c r="E128" s="864">
        <v>44</v>
      </c>
      <c r="F128" s="864">
        <v>100</v>
      </c>
      <c r="G128" s="392"/>
      <c r="H128" s="736">
        <v>-930</v>
      </c>
      <c r="I128" s="736">
        <v>-930</v>
      </c>
      <c r="J128" s="736">
        <v>-930</v>
      </c>
      <c r="K128" s="737">
        <v>-930</v>
      </c>
      <c r="L128" s="737">
        <v>55600</v>
      </c>
      <c r="M128" s="865"/>
      <c r="N128" s="866" t="s">
        <v>71</v>
      </c>
    </row>
    <row r="129" spans="2:18" ht="14.25" x14ac:dyDescent="0.45">
      <c r="B129" s="621" t="s">
        <v>575</v>
      </c>
      <c r="C129" s="391"/>
      <c r="D129" s="391"/>
      <c r="E129" s="864">
        <v>44</v>
      </c>
      <c r="F129" s="864">
        <v>100</v>
      </c>
      <c r="G129" s="392"/>
      <c r="H129" s="736">
        <v>-1200</v>
      </c>
      <c r="I129" s="736">
        <v>-1200</v>
      </c>
      <c r="J129" s="736">
        <v>-1200</v>
      </c>
      <c r="K129" s="737">
        <v>-1200</v>
      </c>
      <c r="L129" s="737">
        <v>22200</v>
      </c>
      <c r="M129" s="865"/>
      <c r="N129" s="866"/>
    </row>
    <row r="130" spans="2:18" ht="26.65" x14ac:dyDescent="0.45">
      <c r="B130" s="687" t="s">
        <v>608</v>
      </c>
      <c r="C130" s="871"/>
      <c r="D130" s="871"/>
      <c r="E130" s="864">
        <v>44</v>
      </c>
      <c r="F130" s="864">
        <v>100</v>
      </c>
      <c r="G130" s="872"/>
      <c r="H130" s="736">
        <v>-90</v>
      </c>
      <c r="I130" s="736">
        <v>-580</v>
      </c>
      <c r="J130" s="736">
        <v>-980</v>
      </c>
      <c r="K130" s="737">
        <v>-980</v>
      </c>
      <c r="L130" s="737">
        <v>10800</v>
      </c>
      <c r="M130" s="865"/>
      <c r="N130" s="866" t="s">
        <v>71</v>
      </c>
    </row>
    <row r="131" spans="2:18" ht="15.75" customHeight="1" x14ac:dyDescent="0.45">
      <c r="B131" s="870"/>
      <c r="C131" s="871"/>
      <c r="D131" s="871"/>
      <c r="E131" s="864"/>
      <c r="F131" s="864"/>
      <c r="G131" s="872"/>
      <c r="H131" s="736"/>
      <c r="I131" s="736"/>
      <c r="J131" s="736"/>
      <c r="K131" s="737"/>
      <c r="L131" s="737"/>
      <c r="M131" s="865"/>
      <c r="N131" s="866"/>
    </row>
    <row r="132" spans="2:18" ht="14.25" x14ac:dyDescent="0.45">
      <c r="B132" s="870"/>
      <c r="C132" s="391"/>
      <c r="D132" s="391"/>
      <c r="E132" s="864"/>
      <c r="F132" s="864"/>
      <c r="G132" s="392"/>
      <c r="H132" s="736"/>
      <c r="I132" s="736"/>
      <c r="J132" s="736"/>
      <c r="K132" s="737"/>
      <c r="L132" s="737"/>
      <c r="M132" s="865"/>
      <c r="N132" s="866"/>
    </row>
    <row r="133" spans="2:18" ht="14.25" x14ac:dyDescent="0.45">
      <c r="B133" s="882" t="s">
        <v>451</v>
      </c>
      <c r="C133" s="458"/>
      <c r="D133" s="458"/>
      <c r="E133" s="883"/>
      <c r="F133" s="883"/>
      <c r="G133" s="459"/>
      <c r="H133" s="736"/>
      <c r="I133" s="736"/>
      <c r="J133" s="736"/>
      <c r="K133" s="737"/>
      <c r="L133" s="737"/>
      <c r="M133" s="865"/>
      <c r="N133" s="866"/>
    </row>
    <row r="134" spans="2:18" ht="14.25" x14ac:dyDescent="0.45">
      <c r="B134" s="687" t="s">
        <v>518</v>
      </c>
      <c r="C134" s="871"/>
      <c r="D134" s="871"/>
      <c r="E134" s="864">
        <v>45</v>
      </c>
      <c r="F134" s="864">
        <v>100</v>
      </c>
      <c r="G134" s="872"/>
      <c r="H134" s="736">
        <v>-746</v>
      </c>
      <c r="I134" s="736">
        <v>-746</v>
      </c>
      <c r="J134" s="736">
        <v>-746</v>
      </c>
      <c r="K134" s="737">
        <v>-746</v>
      </c>
      <c r="L134" s="737">
        <v>49747</v>
      </c>
      <c r="M134" s="865"/>
      <c r="N134" s="866"/>
    </row>
    <row r="135" spans="2:18" ht="14.25" x14ac:dyDescent="0.45">
      <c r="B135" s="687" t="s">
        <v>1079</v>
      </c>
      <c r="C135" s="871"/>
      <c r="D135" s="871"/>
      <c r="E135" s="864">
        <v>45</v>
      </c>
      <c r="F135" s="864">
        <v>100</v>
      </c>
      <c r="G135" s="872"/>
      <c r="H135" s="736">
        <v>-500</v>
      </c>
      <c r="I135" s="736">
        <v>0</v>
      </c>
      <c r="J135" s="736">
        <v>0</v>
      </c>
      <c r="K135" s="737">
        <v>0</v>
      </c>
      <c r="L135" s="737">
        <v>49747</v>
      </c>
      <c r="M135" s="865"/>
      <c r="N135" s="866" t="s">
        <v>71</v>
      </c>
    </row>
    <row r="136" spans="2:18" s="488" customFormat="1" ht="26.25" x14ac:dyDescent="0.4">
      <c r="B136" s="687" t="s">
        <v>1019</v>
      </c>
      <c r="C136" s="456"/>
      <c r="D136" s="456"/>
      <c r="E136" s="456">
        <v>45</v>
      </c>
      <c r="F136" s="873">
        <v>100</v>
      </c>
      <c r="G136" s="456"/>
      <c r="H136" s="876">
        <v>-2000</v>
      </c>
      <c r="I136" s="876">
        <v>2000</v>
      </c>
      <c r="J136" s="456">
        <v>0</v>
      </c>
      <c r="K136" s="869">
        <v>0</v>
      </c>
      <c r="L136" s="874"/>
      <c r="M136" s="867"/>
      <c r="N136" s="866" t="s">
        <v>71</v>
      </c>
      <c r="R136" s="810"/>
    </row>
    <row r="137" spans="2:18" s="488" customFormat="1" ht="13.15" x14ac:dyDescent="0.4">
      <c r="B137" s="687" t="s">
        <v>1020</v>
      </c>
      <c r="C137" s="456"/>
      <c r="D137" s="456"/>
      <c r="E137" s="456">
        <v>45</v>
      </c>
      <c r="F137" s="873">
        <v>100</v>
      </c>
      <c r="G137" s="456"/>
      <c r="H137" s="876">
        <v>-1300</v>
      </c>
      <c r="I137" s="456">
        <v>0</v>
      </c>
      <c r="J137" s="456">
        <v>0</v>
      </c>
      <c r="K137" s="869">
        <v>0</v>
      </c>
      <c r="L137" s="874"/>
      <c r="M137" s="867"/>
      <c r="N137" s="866" t="s">
        <v>71</v>
      </c>
      <c r="R137" s="810"/>
    </row>
    <row r="138" spans="2:18" ht="13.15" x14ac:dyDescent="0.4">
      <c r="B138" s="621" t="s">
        <v>757</v>
      </c>
      <c r="C138" s="875"/>
      <c r="D138" s="875"/>
      <c r="E138" s="873">
        <v>45</v>
      </c>
      <c r="F138" s="873">
        <v>100</v>
      </c>
      <c r="G138" s="820"/>
      <c r="H138" s="736">
        <v>-639</v>
      </c>
      <c r="I138" s="736"/>
      <c r="J138" s="736"/>
      <c r="K138" s="737"/>
      <c r="L138" s="737">
        <v>639</v>
      </c>
      <c r="M138" s="865"/>
      <c r="N138" s="866" t="s">
        <v>71</v>
      </c>
    </row>
    <row r="139" spans="2:18" ht="14.45" customHeight="1" x14ac:dyDescent="0.4">
      <c r="B139" s="621" t="s">
        <v>758</v>
      </c>
      <c r="C139" s="875"/>
      <c r="D139" s="875"/>
      <c r="E139" s="873">
        <v>45</v>
      </c>
      <c r="F139" s="873">
        <v>100</v>
      </c>
      <c r="G139" s="820"/>
      <c r="H139" s="736">
        <v>-53</v>
      </c>
      <c r="I139" s="736">
        <v>-106</v>
      </c>
      <c r="J139" s="736">
        <v>-106</v>
      </c>
      <c r="K139" s="737">
        <v>-106</v>
      </c>
      <c r="L139" s="737">
        <v>106</v>
      </c>
      <c r="M139" s="865"/>
      <c r="N139" s="866"/>
    </row>
    <row r="140" spans="2:18" ht="13.15" x14ac:dyDescent="0.4">
      <c r="B140" s="621" t="s">
        <v>519</v>
      </c>
      <c r="C140" s="875"/>
      <c r="D140" s="875"/>
      <c r="E140" s="873">
        <v>45</v>
      </c>
      <c r="F140" s="873">
        <v>100</v>
      </c>
      <c r="G140" s="820"/>
      <c r="H140" s="736">
        <v>0</v>
      </c>
      <c r="I140" s="736">
        <v>-67</v>
      </c>
      <c r="J140" s="736">
        <v>-67</v>
      </c>
      <c r="K140" s="737">
        <v>-67</v>
      </c>
      <c r="L140" s="737">
        <v>113</v>
      </c>
      <c r="M140" s="865"/>
      <c r="N140" s="866"/>
    </row>
    <row r="141" spans="2:18" ht="13.15" x14ac:dyDescent="0.4">
      <c r="B141" s="621" t="s">
        <v>527</v>
      </c>
      <c r="C141" s="875"/>
      <c r="D141" s="875"/>
      <c r="E141" s="873">
        <v>45</v>
      </c>
      <c r="F141" s="873">
        <v>100</v>
      </c>
      <c r="G141" s="820"/>
      <c r="H141" s="736">
        <v>0</v>
      </c>
      <c r="I141" s="736">
        <v>-402</v>
      </c>
      <c r="J141" s="736">
        <v>-402</v>
      </c>
      <c r="K141" s="737">
        <v>-402</v>
      </c>
      <c r="L141" s="737">
        <f>26858-43</f>
        <v>26815</v>
      </c>
      <c r="M141" s="865"/>
      <c r="N141" s="866"/>
    </row>
    <row r="142" spans="2:18" ht="13.15" x14ac:dyDescent="0.4">
      <c r="B142" s="621" t="s">
        <v>528</v>
      </c>
      <c r="C142" s="875"/>
      <c r="D142" s="875"/>
      <c r="E142" s="873">
        <v>45</v>
      </c>
      <c r="F142" s="873">
        <v>100</v>
      </c>
      <c r="G142" s="820"/>
      <c r="H142" s="736">
        <v>0</v>
      </c>
      <c r="I142" s="736">
        <v>-200</v>
      </c>
      <c r="J142" s="736">
        <v>-200</v>
      </c>
      <c r="K142" s="737">
        <v>-200</v>
      </c>
      <c r="L142" s="737">
        <v>26815</v>
      </c>
      <c r="M142" s="865"/>
      <c r="N142" s="866"/>
    </row>
    <row r="143" spans="2:18" ht="13.15" x14ac:dyDescent="0.4">
      <c r="B143" s="621" t="s">
        <v>544</v>
      </c>
      <c r="C143" s="875"/>
      <c r="D143" s="875"/>
      <c r="E143" s="873">
        <v>45</v>
      </c>
      <c r="F143" s="873">
        <v>100</v>
      </c>
      <c r="G143" s="820"/>
      <c r="H143" s="736">
        <v>0</v>
      </c>
      <c r="I143" s="736">
        <v>-115</v>
      </c>
      <c r="J143" s="736">
        <v>-115</v>
      </c>
      <c r="K143" s="737">
        <v>-115</v>
      </c>
      <c r="L143" s="737">
        <f>12120-1215</f>
        <v>10905</v>
      </c>
      <c r="M143" s="865"/>
      <c r="N143" s="866"/>
      <c r="O143" s="600"/>
    </row>
    <row r="144" spans="2:18" ht="13.15" x14ac:dyDescent="0.4">
      <c r="B144" s="621" t="s">
        <v>545</v>
      </c>
      <c r="C144" s="875"/>
      <c r="D144" s="875"/>
      <c r="E144" s="873">
        <v>45</v>
      </c>
      <c r="F144" s="873">
        <v>100</v>
      </c>
      <c r="G144" s="820"/>
      <c r="H144" s="736">
        <v>0</v>
      </c>
      <c r="I144" s="736">
        <v>-115</v>
      </c>
      <c r="J144" s="736">
        <v>-115</v>
      </c>
      <c r="K144" s="737">
        <v>-115</v>
      </c>
      <c r="L144" s="737">
        <f>-3174-24</f>
        <v>-3198</v>
      </c>
      <c r="M144" s="865"/>
      <c r="N144" s="866"/>
    </row>
    <row r="145" spans="2:15" ht="13.15" x14ac:dyDescent="0.4">
      <c r="B145" s="621" t="s">
        <v>759</v>
      </c>
      <c r="C145" s="875"/>
      <c r="D145" s="875"/>
      <c r="E145" s="873">
        <v>45</v>
      </c>
      <c r="F145" s="873">
        <v>100</v>
      </c>
      <c r="G145" s="820"/>
      <c r="H145" s="736">
        <v>-56</v>
      </c>
      <c r="I145" s="736">
        <v>-56</v>
      </c>
      <c r="J145" s="736">
        <v>-56</v>
      </c>
      <c r="K145" s="737">
        <v>-56</v>
      </c>
      <c r="L145" s="737">
        <v>56</v>
      </c>
      <c r="M145" s="865"/>
      <c r="N145" s="866"/>
    </row>
    <row r="146" spans="2:15" ht="13.15" x14ac:dyDescent="0.4">
      <c r="B146" s="621" t="s">
        <v>760</v>
      </c>
      <c r="C146" s="875"/>
      <c r="D146" s="875"/>
      <c r="E146" s="873">
        <v>45</v>
      </c>
      <c r="F146" s="873">
        <v>100</v>
      </c>
      <c r="G146" s="820"/>
      <c r="H146" s="736">
        <v>-56</v>
      </c>
      <c r="I146" s="736">
        <v>-56</v>
      </c>
      <c r="J146" s="736">
        <v>-56</v>
      </c>
      <c r="K146" s="737">
        <v>-56</v>
      </c>
      <c r="L146" s="737">
        <v>56</v>
      </c>
      <c r="M146" s="865"/>
      <c r="N146" s="866" t="s">
        <v>71</v>
      </c>
    </row>
    <row r="147" spans="2:15" s="488" customFormat="1" ht="13.15" x14ac:dyDescent="0.4">
      <c r="B147" s="687" t="s">
        <v>1021</v>
      </c>
      <c r="C147" s="456"/>
      <c r="D147" s="456"/>
      <c r="E147" s="456">
        <v>45</v>
      </c>
      <c r="F147" s="873">
        <v>100</v>
      </c>
      <c r="G147" s="456"/>
      <c r="H147" s="456">
        <v>-293</v>
      </c>
      <c r="I147" s="456">
        <v>-293</v>
      </c>
      <c r="J147" s="456">
        <v>-293</v>
      </c>
      <c r="K147" s="869">
        <v>-293</v>
      </c>
      <c r="L147" s="874"/>
      <c r="M147" s="867"/>
      <c r="N147" s="866" t="s">
        <v>71</v>
      </c>
    </row>
    <row r="148" spans="2:15" ht="14.25" x14ac:dyDescent="0.45">
      <c r="B148" s="621"/>
      <c r="C148" s="391"/>
      <c r="D148" s="391"/>
      <c r="E148" s="864"/>
      <c r="F148" s="864"/>
      <c r="G148" s="392"/>
      <c r="H148" s="736"/>
      <c r="I148" s="736"/>
      <c r="J148" s="736"/>
      <c r="K148" s="737"/>
      <c r="L148" s="737"/>
      <c r="M148" s="865"/>
      <c r="N148" s="866"/>
    </row>
    <row r="149" spans="2:15" ht="14.25" x14ac:dyDescent="0.45">
      <c r="B149" s="897"/>
      <c r="C149" s="898"/>
      <c r="D149" s="898"/>
      <c r="E149" s="864"/>
      <c r="F149" s="864"/>
      <c r="G149" s="459"/>
      <c r="H149" s="885"/>
      <c r="I149" s="885"/>
      <c r="J149" s="885"/>
      <c r="K149" s="216"/>
      <c r="L149" s="737"/>
      <c r="M149" s="865"/>
      <c r="N149" s="866"/>
    </row>
    <row r="150" spans="2:15" ht="14.25" x14ac:dyDescent="0.45">
      <c r="B150" s="882" t="s">
        <v>62</v>
      </c>
      <c r="C150" s="458"/>
      <c r="D150" s="458"/>
      <c r="E150" s="885"/>
      <c r="F150" s="885"/>
      <c r="G150" s="885"/>
      <c r="H150" s="152"/>
      <c r="I150" s="152"/>
      <c r="J150" s="152"/>
      <c r="K150" s="216"/>
      <c r="L150" s="737"/>
      <c r="M150" s="865"/>
      <c r="N150" s="866"/>
    </row>
    <row r="151" spans="2:15" ht="13.15" x14ac:dyDescent="0.4">
      <c r="B151" s="621" t="s">
        <v>971</v>
      </c>
      <c r="C151" s="875"/>
      <c r="D151" s="875"/>
      <c r="E151" s="873">
        <v>46</v>
      </c>
      <c r="F151" s="873">
        <v>100</v>
      </c>
      <c r="G151" s="820"/>
      <c r="H151" s="736">
        <v>-93</v>
      </c>
      <c r="I151" s="736">
        <v>-93</v>
      </c>
      <c r="J151" s="736">
        <v>-93</v>
      </c>
      <c r="K151" s="737">
        <v>-93</v>
      </c>
      <c r="L151" s="737">
        <f>6465-307</f>
        <v>6158</v>
      </c>
      <c r="M151" s="865"/>
      <c r="N151" s="866"/>
      <c r="O151" s="600"/>
    </row>
    <row r="152" spans="2:15" s="789" customFormat="1" ht="26.65" x14ac:dyDescent="0.45">
      <c r="B152" s="687" t="s">
        <v>1022</v>
      </c>
      <c r="C152" s="118"/>
      <c r="D152" s="118"/>
      <c r="E152" s="118">
        <v>46</v>
      </c>
      <c r="F152" s="864">
        <v>100</v>
      </c>
      <c r="G152" s="118"/>
      <c r="H152" s="118">
        <v>-78</v>
      </c>
      <c r="I152" s="118">
        <v>-78</v>
      </c>
      <c r="J152" s="118">
        <v>-78</v>
      </c>
      <c r="K152" s="171">
        <v>-78</v>
      </c>
      <c r="L152" s="461"/>
      <c r="M152" s="867"/>
      <c r="N152" s="866" t="s">
        <v>71</v>
      </c>
      <c r="O152" s="830"/>
    </row>
    <row r="153" spans="2:15" ht="14.25" x14ac:dyDescent="0.45">
      <c r="B153" s="895"/>
      <c r="C153" s="458"/>
      <c r="D153" s="458"/>
      <c r="E153" s="885"/>
      <c r="F153" s="885"/>
      <c r="G153" s="885"/>
      <c r="H153" s="152"/>
      <c r="I153" s="152"/>
      <c r="J153" s="152"/>
      <c r="K153" s="216"/>
      <c r="L153" s="737"/>
      <c r="M153" s="865"/>
      <c r="N153" s="866"/>
    </row>
    <row r="154" spans="2:15" ht="14.25" x14ac:dyDescent="0.45">
      <c r="B154" s="895"/>
      <c r="C154" s="458"/>
      <c r="D154" s="458"/>
      <c r="E154" s="885"/>
      <c r="F154" s="885"/>
      <c r="G154" s="885"/>
      <c r="H154" s="152"/>
      <c r="I154" s="152"/>
      <c r="J154" s="152"/>
      <c r="K154" s="216"/>
      <c r="L154" s="737"/>
      <c r="M154" s="865"/>
      <c r="N154" s="866"/>
    </row>
    <row r="155" spans="2:15" ht="14.25" x14ac:dyDescent="0.45">
      <c r="B155" s="792" t="s">
        <v>435</v>
      </c>
      <c r="C155" s="391"/>
      <c r="D155" s="391"/>
      <c r="E155" s="864"/>
      <c r="F155" s="864"/>
      <c r="G155" s="885"/>
      <c r="H155" s="899"/>
      <c r="I155" s="899"/>
      <c r="J155" s="899"/>
      <c r="K155" s="216"/>
      <c r="L155" s="737"/>
      <c r="M155" s="865"/>
      <c r="N155" s="866"/>
    </row>
    <row r="156" spans="2:15" ht="14.25" x14ac:dyDescent="0.45">
      <c r="B156" s="877" t="s">
        <v>571</v>
      </c>
      <c r="C156" s="391"/>
      <c r="D156" s="391"/>
      <c r="E156" s="864">
        <v>50</v>
      </c>
      <c r="F156" s="864">
        <v>100</v>
      </c>
      <c r="G156" s="885"/>
      <c r="H156" s="152">
        <v>-300</v>
      </c>
      <c r="I156" s="152">
        <v>-300</v>
      </c>
      <c r="J156" s="152">
        <v>-300</v>
      </c>
      <c r="K156" s="216">
        <v>-300</v>
      </c>
      <c r="L156" s="737">
        <v>2000</v>
      </c>
      <c r="M156" s="865"/>
      <c r="N156" s="866" t="s">
        <v>71</v>
      </c>
    </row>
    <row r="157" spans="2:15" s="789" customFormat="1" ht="14.25" x14ac:dyDescent="0.45">
      <c r="B157" s="877" t="s">
        <v>1023</v>
      </c>
      <c r="C157" s="391"/>
      <c r="D157" s="391"/>
      <c r="E157" s="864">
        <v>50</v>
      </c>
      <c r="F157" s="864">
        <v>100</v>
      </c>
      <c r="G157" s="885"/>
      <c r="H157" s="152">
        <v>-300</v>
      </c>
      <c r="I157" s="152">
        <v>-300</v>
      </c>
      <c r="J157" s="152">
        <v>-300</v>
      </c>
      <c r="K157" s="216">
        <v>-300</v>
      </c>
      <c r="L157" s="737"/>
      <c r="M157" s="865"/>
      <c r="N157" s="866" t="s">
        <v>71</v>
      </c>
      <c r="O157" s="830"/>
    </row>
    <row r="158" spans="2:15" ht="14.25" x14ac:dyDescent="0.45">
      <c r="B158" s="877" t="s">
        <v>540</v>
      </c>
      <c r="C158" s="391"/>
      <c r="D158" s="391"/>
      <c r="E158" s="864">
        <v>50</v>
      </c>
      <c r="F158" s="864">
        <v>100</v>
      </c>
      <c r="G158" s="885"/>
      <c r="H158" s="152">
        <v>-700</v>
      </c>
      <c r="I158" s="152">
        <v>-700</v>
      </c>
      <c r="J158" s="152">
        <v>-700</v>
      </c>
      <c r="K158" s="216">
        <v>-700</v>
      </c>
      <c r="L158" s="737">
        <v>14868</v>
      </c>
      <c r="M158" s="865"/>
      <c r="N158" s="866" t="s">
        <v>71</v>
      </c>
    </row>
    <row r="159" spans="2:15" ht="14.25" x14ac:dyDescent="0.45">
      <c r="B159" s="877" t="s">
        <v>541</v>
      </c>
      <c r="C159" s="391"/>
      <c r="D159" s="391"/>
      <c r="E159" s="864">
        <v>50</v>
      </c>
      <c r="F159" s="864">
        <v>100</v>
      </c>
      <c r="G159" s="885"/>
      <c r="H159" s="152">
        <v>-400</v>
      </c>
      <c r="I159" s="152">
        <v>-400</v>
      </c>
      <c r="J159" s="152">
        <v>-400</v>
      </c>
      <c r="K159" s="216">
        <v>-400</v>
      </c>
      <c r="L159" s="737">
        <v>3196</v>
      </c>
      <c r="M159" s="865"/>
      <c r="N159" s="866" t="s">
        <v>71</v>
      </c>
    </row>
    <row r="160" spans="2:15" ht="14.25" x14ac:dyDescent="0.45">
      <c r="B160" s="877" t="s">
        <v>572</v>
      </c>
      <c r="C160" s="391"/>
      <c r="D160" s="391"/>
      <c r="E160" s="864">
        <v>50</v>
      </c>
      <c r="F160" s="864">
        <v>100</v>
      </c>
      <c r="G160" s="885"/>
      <c r="H160" s="152">
        <v>-400</v>
      </c>
      <c r="I160" s="152">
        <v>-400</v>
      </c>
      <c r="J160" s="152">
        <v>-400</v>
      </c>
      <c r="K160" s="216">
        <v>-400</v>
      </c>
      <c r="L160" s="737">
        <v>5160</v>
      </c>
      <c r="M160" s="865"/>
      <c r="N160" s="866" t="s">
        <v>71</v>
      </c>
    </row>
    <row r="161" spans="2:15" s="789" customFormat="1" ht="14.25" x14ac:dyDescent="0.45">
      <c r="B161" s="687" t="s">
        <v>1024</v>
      </c>
      <c r="C161" s="118"/>
      <c r="D161" s="118"/>
      <c r="E161" s="118">
        <v>50</v>
      </c>
      <c r="F161" s="864">
        <v>100</v>
      </c>
      <c r="G161" s="118"/>
      <c r="H161" s="118">
        <v>-200</v>
      </c>
      <c r="I161" s="118">
        <v>-200</v>
      </c>
      <c r="J161" s="118">
        <v>-200</v>
      </c>
      <c r="K161" s="171">
        <v>-200</v>
      </c>
      <c r="L161" s="461"/>
      <c r="M161" s="867"/>
      <c r="N161" s="866" t="s">
        <v>71</v>
      </c>
      <c r="O161" s="830"/>
    </row>
    <row r="162" spans="2:15" ht="14.25" x14ac:dyDescent="0.45">
      <c r="B162" s="792"/>
      <c r="C162" s="391"/>
      <c r="D162" s="391"/>
      <c r="E162" s="864"/>
      <c r="F162" s="864"/>
      <c r="G162" s="885"/>
      <c r="H162" s="736"/>
      <c r="I162" s="736"/>
      <c r="J162" s="736"/>
      <c r="K162" s="737"/>
      <c r="L162" s="737"/>
      <c r="M162" s="865"/>
      <c r="N162" s="866"/>
    </row>
    <row r="163" spans="2:15" ht="14.65" thickBot="1" x14ac:dyDescent="0.5">
      <c r="B163" s="793"/>
      <c r="C163" s="900"/>
      <c r="D163" s="900"/>
      <c r="E163" s="901"/>
      <c r="F163" s="901"/>
      <c r="G163" s="902"/>
      <c r="H163" s="903"/>
      <c r="I163" s="904"/>
      <c r="J163" s="904"/>
      <c r="K163" s="905"/>
      <c r="L163" s="906"/>
      <c r="M163" s="907"/>
      <c r="N163" s="908"/>
    </row>
    <row r="164" spans="2:15" ht="26.65" x14ac:dyDescent="0.45">
      <c r="B164" s="792" t="s">
        <v>987</v>
      </c>
      <c r="C164" s="391"/>
      <c r="D164" s="391"/>
      <c r="E164" s="864"/>
      <c r="F164" s="864"/>
      <c r="G164" s="872"/>
      <c r="H164" s="909"/>
      <c r="I164" s="152"/>
      <c r="J164" s="152"/>
      <c r="K164" s="216"/>
      <c r="L164" s="749"/>
      <c r="M164" s="910"/>
      <c r="N164" s="911"/>
    </row>
    <row r="165" spans="2:15" ht="14.25" x14ac:dyDescent="0.45">
      <c r="B165" s="877" t="s">
        <v>984</v>
      </c>
      <c r="C165" s="391"/>
      <c r="D165" s="391"/>
      <c r="E165" s="864">
        <v>50</v>
      </c>
      <c r="F165" s="864">
        <v>100</v>
      </c>
      <c r="G165" s="864"/>
      <c r="H165" s="152">
        <v>-17569</v>
      </c>
      <c r="I165" s="152">
        <v>0</v>
      </c>
      <c r="J165" s="152">
        <v>0</v>
      </c>
      <c r="K165" s="152">
        <v>0</v>
      </c>
      <c r="L165" s="749"/>
      <c r="M165" s="912"/>
      <c r="N165" s="911" t="s">
        <v>71</v>
      </c>
    </row>
    <row r="166" spans="2:15" ht="14.25" x14ac:dyDescent="0.45">
      <c r="B166" s="877" t="s">
        <v>985</v>
      </c>
      <c r="C166" s="871"/>
      <c r="D166" s="871"/>
      <c r="E166" s="864">
        <v>12</v>
      </c>
      <c r="F166" s="600">
        <v>100</v>
      </c>
      <c r="H166" s="152">
        <v>-152</v>
      </c>
      <c r="I166" s="152">
        <v>0</v>
      </c>
      <c r="J166" s="152">
        <v>0</v>
      </c>
      <c r="K166" s="152">
        <v>0</v>
      </c>
      <c r="L166" s="749"/>
      <c r="N166" s="911" t="s">
        <v>71</v>
      </c>
    </row>
    <row r="167" spans="2:15" ht="14.25" x14ac:dyDescent="0.45">
      <c r="B167" s="877" t="s">
        <v>986</v>
      </c>
      <c r="C167" s="871"/>
      <c r="D167" s="871"/>
      <c r="E167" s="864">
        <v>38</v>
      </c>
      <c r="F167" s="600">
        <v>100</v>
      </c>
      <c r="H167" s="152">
        <v>-2000</v>
      </c>
      <c r="I167" s="152">
        <v>0</v>
      </c>
      <c r="J167" s="152">
        <v>0</v>
      </c>
      <c r="K167" s="152">
        <v>0</v>
      </c>
      <c r="L167" s="749"/>
      <c r="N167" s="911" t="s">
        <v>71</v>
      </c>
    </row>
    <row r="168" spans="2:15" ht="14.25" x14ac:dyDescent="0.45">
      <c r="B168" s="877"/>
      <c r="C168" s="871"/>
      <c r="D168" s="871"/>
      <c r="E168" s="864"/>
      <c r="H168" s="152"/>
      <c r="I168" s="152"/>
      <c r="J168" s="152"/>
      <c r="K168" s="152"/>
      <c r="L168" s="749"/>
      <c r="N168" s="911"/>
    </row>
    <row r="169" spans="2:15" ht="26.65" x14ac:dyDescent="0.45">
      <c r="B169" s="877" t="s">
        <v>1035</v>
      </c>
      <c r="C169" s="391"/>
      <c r="D169" s="391"/>
      <c r="E169" s="864">
        <v>12</v>
      </c>
      <c r="F169" s="885">
        <v>100</v>
      </c>
      <c r="H169" s="152">
        <v>-10950</v>
      </c>
      <c r="I169" s="152">
        <v>-10950</v>
      </c>
      <c r="J169" s="152">
        <v>-10950</v>
      </c>
      <c r="K169" s="216">
        <v>-10950</v>
      </c>
      <c r="L169" s="913">
        <v>10950</v>
      </c>
      <c r="N169" s="911" t="s">
        <v>71</v>
      </c>
    </row>
    <row r="170" spans="2:15" ht="14.25" x14ac:dyDescent="0.45">
      <c r="B170" s="877" t="s">
        <v>1028</v>
      </c>
      <c r="C170" s="391"/>
      <c r="D170" s="391"/>
      <c r="E170" s="864">
        <v>38</v>
      </c>
      <c r="F170" s="885">
        <v>100</v>
      </c>
      <c r="H170" s="152">
        <v>-1000</v>
      </c>
      <c r="I170" s="152">
        <v>-1000</v>
      </c>
      <c r="J170" s="152">
        <v>-1000</v>
      </c>
      <c r="K170" s="216">
        <v>-1000</v>
      </c>
      <c r="L170" s="913"/>
      <c r="N170" s="911" t="s">
        <v>71</v>
      </c>
    </row>
    <row r="171" spans="2:15" ht="14.25" x14ac:dyDescent="0.45">
      <c r="B171" s="877" t="s">
        <v>1029</v>
      </c>
      <c r="C171" s="391"/>
      <c r="D171" s="391"/>
      <c r="E171" s="864">
        <v>38</v>
      </c>
      <c r="F171" s="885">
        <v>100</v>
      </c>
      <c r="H171" s="152">
        <v>-1730</v>
      </c>
      <c r="I171" s="152">
        <v>-1730</v>
      </c>
      <c r="J171" s="152">
        <v>-1730</v>
      </c>
      <c r="K171" s="216">
        <v>-1730</v>
      </c>
      <c r="L171" s="913"/>
      <c r="N171" s="911" t="s">
        <v>71</v>
      </c>
    </row>
    <row r="172" spans="2:15" ht="14.25" x14ac:dyDescent="0.45">
      <c r="B172" s="877" t="s">
        <v>1029</v>
      </c>
      <c r="C172" s="391"/>
      <c r="D172" s="391"/>
      <c r="E172" s="864">
        <v>38</v>
      </c>
      <c r="F172" s="885">
        <v>200</v>
      </c>
      <c r="H172" s="152">
        <v>1730</v>
      </c>
      <c r="I172" s="152">
        <v>1730</v>
      </c>
      <c r="J172" s="152">
        <v>1730</v>
      </c>
      <c r="K172" s="216">
        <v>1730</v>
      </c>
      <c r="L172" s="913"/>
      <c r="N172" s="911" t="s">
        <v>71</v>
      </c>
    </row>
    <row r="173" spans="2:15" ht="14.25" x14ac:dyDescent="0.45">
      <c r="B173" s="877"/>
      <c r="C173" s="391"/>
      <c r="D173" s="391"/>
      <c r="E173" s="864"/>
      <c r="F173" s="885"/>
      <c r="H173" s="152"/>
      <c r="I173" s="152"/>
      <c r="J173" s="152"/>
      <c r="K173" s="216"/>
      <c r="L173" s="913"/>
      <c r="N173" s="911"/>
    </row>
    <row r="174" spans="2:15" ht="14.25" x14ac:dyDescent="0.45">
      <c r="B174" s="877"/>
      <c r="C174" s="391"/>
      <c r="D174" s="391"/>
      <c r="E174" s="864"/>
      <c r="F174" s="885"/>
      <c r="H174" s="152"/>
      <c r="I174" s="152"/>
      <c r="J174" s="152"/>
      <c r="K174" s="216"/>
      <c r="L174" s="913"/>
      <c r="N174" s="911"/>
    </row>
    <row r="175" spans="2:15" ht="13.5" thickBot="1" x14ac:dyDescent="0.45">
      <c r="B175" s="793"/>
      <c r="C175" s="794"/>
      <c r="D175" s="794"/>
      <c r="E175" s="794"/>
      <c r="F175" s="794"/>
      <c r="G175" s="794"/>
      <c r="H175" s="794"/>
      <c r="I175" s="794"/>
      <c r="J175" s="794"/>
      <c r="K175" s="804"/>
      <c r="L175" s="795"/>
      <c r="N175" s="859"/>
    </row>
  </sheetData>
  <autoFilter ref="N2:N165" xr:uid="{00000000-0009-0000-0000-000004000000}"/>
  <pageMargins left="0.23622047244094491" right="0.23622047244094491" top="0.74803149606299213" bottom="0.74803149606299213" header="0.31496062992125984" footer="0.31496062992125984"/>
  <pageSetup paperSize="9" scale="91" fitToHeight="8" orientation="landscape" r:id="rId1"/>
  <headerFooter>
    <oddFooter>&amp;L&amp;D&amp;T&amp;CSide &amp;P af &amp;N&amp;R&amp;F</oddFooter>
  </headerFooter>
  <rowBreaks count="4" manualBreakCount="4">
    <brk id="35" min="1" max="13" man="1"/>
    <brk id="104" min="1" max="13" man="1"/>
    <brk id="132" min="1" max="13" man="1"/>
    <brk id="162" min="1" max="13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IN202"/>
  <sheetViews>
    <sheetView zoomScaleNormal="100" zoomScaleSheetLayoutView="80" workbookViewId="0">
      <selection activeCell="K18" sqref="K18"/>
    </sheetView>
  </sheetViews>
  <sheetFormatPr defaultColWidth="8.53125" defaultRowHeight="12.75" x14ac:dyDescent="0.35"/>
  <cols>
    <col min="1" max="1" width="2.46484375" style="28" customWidth="1"/>
    <col min="2" max="2" width="66.6640625" style="28" customWidth="1"/>
    <col min="3" max="3" width="3.53125" style="28" hidden="1" customWidth="1"/>
    <col min="4" max="4" width="5.46484375" style="568" customWidth="1"/>
    <col min="5" max="5" width="4.33203125" style="568" customWidth="1"/>
    <col min="6" max="9" width="10.46484375" style="28" bestFit="1" customWidth="1"/>
    <col min="10" max="10" width="9.19921875" style="28" customWidth="1"/>
    <col min="11" max="11" width="3.53125" style="28" customWidth="1"/>
    <col min="12" max="12" width="11.53125" style="149" bestFit="1" customWidth="1"/>
    <col min="13" max="13" width="13.53125" style="28" hidden="1" customWidth="1"/>
    <col min="14" max="14" width="9.46484375" style="28" hidden="1" customWidth="1"/>
    <col min="15" max="15" width="14.46484375" style="28" hidden="1" customWidth="1"/>
    <col min="16" max="19" width="9.46484375" style="218" hidden="1" customWidth="1"/>
    <col min="20" max="21" width="9.46484375" style="28" hidden="1" customWidth="1"/>
    <col min="22" max="22" width="25.1328125" style="28" bestFit="1" customWidth="1"/>
    <col min="23" max="30" width="22.19921875" style="28" customWidth="1"/>
    <col min="31" max="47" width="9.46484375" style="28" customWidth="1"/>
    <col min="48" max="16384" width="8.53125" style="28"/>
  </cols>
  <sheetData>
    <row r="2" spans="2:248" ht="13.15" x14ac:dyDescent="0.4">
      <c r="B2" s="977" t="s">
        <v>215</v>
      </c>
      <c r="C2" s="978"/>
      <c r="D2" s="978"/>
      <c r="E2" s="978"/>
      <c r="F2" s="978"/>
      <c r="G2" s="978"/>
      <c r="H2" s="978"/>
      <c r="I2" s="978"/>
      <c r="J2" s="39"/>
    </row>
    <row r="5" spans="2:248" ht="13.5" thickBot="1" x14ac:dyDescent="0.45">
      <c r="B5" s="661" t="s">
        <v>61</v>
      </c>
      <c r="C5" s="661"/>
      <c r="D5" s="662"/>
      <c r="E5" s="662"/>
      <c r="F5" s="663"/>
      <c r="G5" s="663"/>
      <c r="H5" s="663"/>
      <c r="I5" s="663"/>
      <c r="J5" s="664"/>
      <c r="K5" s="665"/>
      <c r="L5" s="778"/>
      <c r="M5" s="665"/>
      <c r="N5" s="665"/>
      <c r="O5" s="666"/>
      <c r="P5" s="28"/>
      <c r="Q5" s="28"/>
      <c r="R5" s="28"/>
      <c r="S5" s="28"/>
      <c r="AV5" s="665"/>
      <c r="AW5" s="665"/>
      <c r="AX5" s="665"/>
      <c r="AY5" s="665"/>
      <c r="AZ5" s="665"/>
      <c r="BA5" s="665"/>
      <c r="BB5" s="665"/>
      <c r="BC5" s="665"/>
      <c r="BD5" s="665"/>
      <c r="BE5" s="665"/>
      <c r="BF5" s="665"/>
      <c r="BG5" s="665"/>
      <c r="BH5" s="665"/>
      <c r="BI5" s="665"/>
      <c r="BJ5" s="665"/>
      <c r="BK5" s="665"/>
      <c r="BL5" s="665"/>
      <c r="BM5" s="665"/>
      <c r="BN5" s="665"/>
      <c r="BO5" s="665"/>
      <c r="BP5" s="665"/>
      <c r="BQ5" s="665"/>
      <c r="BR5" s="665"/>
      <c r="BS5" s="665"/>
      <c r="BT5" s="665"/>
      <c r="BU5" s="665"/>
      <c r="BV5" s="665"/>
      <c r="BW5" s="665"/>
      <c r="BX5" s="665"/>
      <c r="BY5" s="665"/>
      <c r="BZ5" s="665"/>
      <c r="CA5" s="665"/>
      <c r="CB5" s="665"/>
      <c r="CC5" s="665"/>
      <c r="CD5" s="665"/>
      <c r="CE5" s="665"/>
      <c r="CF5" s="665"/>
      <c r="CG5" s="665"/>
      <c r="CH5" s="665"/>
      <c r="CI5" s="665"/>
      <c r="CJ5" s="665"/>
      <c r="CK5" s="665"/>
      <c r="CL5" s="665"/>
      <c r="CM5" s="665"/>
      <c r="CN5" s="665"/>
      <c r="CO5" s="665"/>
      <c r="CP5" s="665"/>
      <c r="CQ5" s="665"/>
      <c r="CR5" s="665"/>
      <c r="CS5" s="665"/>
      <c r="CT5" s="665"/>
      <c r="CU5" s="665"/>
      <c r="CV5" s="665"/>
      <c r="CW5" s="665"/>
      <c r="CX5" s="665"/>
      <c r="CY5" s="665"/>
      <c r="CZ5" s="665"/>
      <c r="DA5" s="665"/>
      <c r="DB5" s="665"/>
      <c r="DC5" s="665"/>
      <c r="DD5" s="665"/>
      <c r="DE5" s="665"/>
      <c r="DF5" s="665"/>
      <c r="DG5" s="665"/>
      <c r="DH5" s="665"/>
      <c r="DI5" s="665"/>
      <c r="DJ5" s="665"/>
      <c r="DK5" s="665"/>
      <c r="DL5" s="665"/>
      <c r="DM5" s="665"/>
      <c r="DN5" s="665"/>
      <c r="DO5" s="665"/>
      <c r="DP5" s="665"/>
      <c r="DQ5" s="665"/>
      <c r="DR5" s="665"/>
      <c r="DS5" s="665"/>
      <c r="DT5" s="665"/>
      <c r="DU5" s="665"/>
      <c r="DV5" s="665"/>
      <c r="DW5" s="665"/>
      <c r="DX5" s="665"/>
      <c r="DY5" s="665"/>
      <c r="DZ5" s="665"/>
      <c r="EA5" s="665"/>
      <c r="EB5" s="665"/>
      <c r="EC5" s="665"/>
      <c r="ED5" s="665"/>
      <c r="EE5" s="665"/>
      <c r="EF5" s="665"/>
      <c r="EG5" s="665"/>
      <c r="EH5" s="665"/>
      <c r="EI5" s="665"/>
      <c r="EJ5" s="665"/>
      <c r="EK5" s="665"/>
      <c r="EL5" s="665"/>
      <c r="EM5" s="665"/>
      <c r="EN5" s="665"/>
      <c r="EO5" s="665"/>
      <c r="EP5" s="665"/>
      <c r="EQ5" s="665"/>
      <c r="ER5" s="665"/>
      <c r="ES5" s="665"/>
      <c r="ET5" s="665"/>
      <c r="EU5" s="665"/>
      <c r="EV5" s="665"/>
      <c r="EW5" s="665"/>
      <c r="EX5" s="665"/>
      <c r="EY5" s="665"/>
      <c r="EZ5" s="665"/>
      <c r="FA5" s="665"/>
      <c r="FB5" s="665"/>
      <c r="FC5" s="665"/>
      <c r="FD5" s="665"/>
      <c r="FE5" s="665"/>
      <c r="FF5" s="665"/>
      <c r="FG5" s="665"/>
      <c r="FH5" s="665"/>
      <c r="FI5" s="665"/>
      <c r="FJ5" s="665"/>
      <c r="FK5" s="665"/>
      <c r="FL5" s="665"/>
      <c r="FM5" s="665"/>
      <c r="FN5" s="665"/>
      <c r="FO5" s="665"/>
      <c r="FP5" s="665"/>
      <c r="FQ5" s="665"/>
      <c r="FR5" s="665"/>
      <c r="FS5" s="665"/>
      <c r="FT5" s="665"/>
      <c r="FU5" s="665"/>
      <c r="FV5" s="665"/>
      <c r="FW5" s="665"/>
      <c r="FX5" s="665"/>
      <c r="FY5" s="665"/>
      <c r="FZ5" s="665"/>
      <c r="GA5" s="665"/>
      <c r="GB5" s="665"/>
      <c r="GC5" s="665"/>
      <c r="GD5" s="665"/>
      <c r="GE5" s="665"/>
      <c r="GF5" s="665"/>
      <c r="GG5" s="665"/>
      <c r="GH5" s="665"/>
      <c r="GI5" s="665"/>
      <c r="GJ5" s="665"/>
      <c r="GK5" s="665"/>
      <c r="GL5" s="665"/>
      <c r="GM5" s="665"/>
      <c r="GN5" s="665"/>
      <c r="GO5" s="665"/>
      <c r="GP5" s="665"/>
      <c r="GQ5" s="665"/>
      <c r="GR5" s="665"/>
      <c r="GS5" s="665"/>
      <c r="GT5" s="665"/>
      <c r="GU5" s="665"/>
      <c r="GV5" s="665"/>
      <c r="GW5" s="665"/>
      <c r="GX5" s="665"/>
      <c r="GY5" s="665"/>
      <c r="GZ5" s="665"/>
      <c r="HA5" s="665"/>
      <c r="HB5" s="665"/>
      <c r="HC5" s="665"/>
      <c r="HD5" s="665"/>
      <c r="HE5" s="665"/>
      <c r="HF5" s="665"/>
      <c r="HG5" s="665"/>
      <c r="HH5" s="665"/>
      <c r="HI5" s="665"/>
      <c r="HJ5" s="665"/>
      <c r="HK5" s="665"/>
      <c r="HL5" s="665"/>
      <c r="HM5" s="665"/>
      <c r="HN5" s="665"/>
      <c r="HO5" s="665"/>
      <c r="HP5" s="665"/>
      <c r="HQ5" s="665"/>
      <c r="HR5" s="665"/>
      <c r="HS5" s="665"/>
      <c r="HT5" s="665"/>
      <c r="HU5" s="665"/>
      <c r="HV5" s="665"/>
      <c r="HW5" s="665"/>
      <c r="HX5" s="665"/>
      <c r="HY5" s="665"/>
      <c r="HZ5" s="665"/>
      <c r="IA5" s="665"/>
      <c r="IB5" s="665"/>
      <c r="IC5" s="665"/>
      <c r="ID5" s="665"/>
      <c r="IE5" s="665"/>
      <c r="IF5" s="665"/>
      <c r="IG5" s="665"/>
      <c r="IH5" s="665"/>
      <c r="II5" s="665"/>
      <c r="IJ5" s="665"/>
      <c r="IK5" s="665"/>
      <c r="IL5" s="665"/>
      <c r="IM5" s="665"/>
      <c r="IN5" s="665"/>
    </row>
    <row r="6" spans="2:248" ht="30" customHeight="1" thickTop="1" x14ac:dyDescent="0.4">
      <c r="B6" s="476"/>
      <c r="C6" s="300"/>
      <c r="D6" s="569"/>
      <c r="E6" s="569"/>
      <c r="F6" s="573"/>
      <c r="G6" s="573"/>
      <c r="H6" s="573"/>
      <c r="I6" s="573"/>
      <c r="J6" s="573"/>
    </row>
    <row r="7" spans="2:248" ht="13.15" x14ac:dyDescent="0.4">
      <c r="B7" s="476" t="s">
        <v>127</v>
      </c>
      <c r="C7" s="300"/>
      <c r="D7" s="569"/>
      <c r="E7" s="569"/>
      <c r="F7" s="573"/>
      <c r="G7" s="573"/>
      <c r="H7" s="573"/>
    </row>
    <row r="8" spans="2:248" ht="13.15" x14ac:dyDescent="0.4">
      <c r="B8" s="979"/>
      <c r="C8" s="979"/>
      <c r="D8" s="570"/>
      <c r="E8" s="570"/>
      <c r="F8" s="573"/>
      <c r="G8" s="573"/>
      <c r="H8" s="573"/>
      <c r="I8" s="573"/>
      <c r="J8" s="573"/>
    </row>
    <row r="9" spans="2:248" ht="13.15" x14ac:dyDescent="0.4">
      <c r="C9" s="300"/>
      <c r="D9" s="569"/>
      <c r="E9" s="569"/>
      <c r="F9" s="573"/>
      <c r="G9" s="573"/>
      <c r="H9" s="573"/>
      <c r="I9" s="573"/>
      <c r="J9" s="573"/>
    </row>
    <row r="10" spans="2:248" ht="13.5" thickBot="1" x14ac:dyDescent="0.45">
      <c r="B10" s="301" t="s">
        <v>61</v>
      </c>
      <c r="C10" s="300"/>
      <c r="D10" s="569"/>
      <c r="E10" s="569"/>
      <c r="F10" s="573"/>
      <c r="G10" s="573"/>
      <c r="H10" s="573"/>
      <c r="I10" s="573"/>
      <c r="J10" s="573"/>
    </row>
    <row r="11" spans="2:248" ht="13.5" thickBot="1" x14ac:dyDescent="0.45">
      <c r="B11" s="302" t="s">
        <v>64</v>
      </c>
      <c r="C11" s="303" t="s">
        <v>188</v>
      </c>
      <c r="D11" s="304" t="s">
        <v>59</v>
      </c>
      <c r="E11" s="304" t="s">
        <v>60</v>
      </c>
      <c r="F11" s="304">
        <f>+'Budgetforslag 2027-2030'!C3</f>
        <v>2027</v>
      </c>
      <c r="G11" s="304">
        <f>+F11+1</f>
        <v>2028</v>
      </c>
      <c r="H11" s="304">
        <f>+G11+1</f>
        <v>2029</v>
      </c>
      <c r="I11" s="304">
        <f>+H11+1</f>
        <v>2030</v>
      </c>
      <c r="J11" s="345" t="s">
        <v>99</v>
      </c>
      <c r="K11" s="642"/>
      <c r="L11" s="339" t="s">
        <v>65</v>
      </c>
      <c r="M11" s="305" t="s">
        <v>73</v>
      </c>
    </row>
    <row r="12" spans="2:248" ht="34.35" customHeight="1" thickBot="1" x14ac:dyDescent="0.45">
      <c r="B12" s="309" t="s">
        <v>127</v>
      </c>
      <c r="C12" s="306"/>
      <c r="D12" s="571"/>
      <c r="E12" s="571"/>
      <c r="F12" s="715">
        <f>SUMIF($L14:$L189,"x",F14:F189)-SUMIF($L$175,"x",F175)</f>
        <v>58892</v>
      </c>
      <c r="G12" s="715">
        <f>SUMIF($L14:$L189,"x",G14:G189)-SUMIF($L$175,"x",G175)</f>
        <v>82886</v>
      </c>
      <c r="H12" s="715">
        <f>SUMIF($L14:$L189,"x",H14:H189)-SUMIF($L$175,"x",H175)</f>
        <v>80577</v>
      </c>
      <c r="I12" s="715">
        <f>SUMIF($L14:$L189,"x",I14:I189)-SUMIF($L$175,"x",I175)</f>
        <v>59984</v>
      </c>
      <c r="J12" s="644" t="s">
        <v>100</v>
      </c>
      <c r="K12" s="317"/>
      <c r="L12" s="779" t="s">
        <v>66</v>
      </c>
      <c r="M12" s="308" t="s">
        <v>74</v>
      </c>
      <c r="Q12" s="28"/>
    </row>
    <row r="13" spans="2:248" ht="2.25" customHeight="1" thickBot="1" x14ac:dyDescent="0.45">
      <c r="B13" s="309"/>
      <c r="C13" s="303"/>
      <c r="D13" s="304"/>
      <c r="E13" s="304"/>
      <c r="F13" s="307"/>
      <c r="G13" s="307"/>
      <c r="H13" s="307"/>
      <c r="I13" s="307"/>
      <c r="J13" s="645"/>
      <c r="K13" s="643"/>
      <c r="L13" s="339"/>
      <c r="M13" s="310"/>
      <c r="N13" s="311"/>
    </row>
    <row r="14" spans="2:248" ht="13.15" x14ac:dyDescent="0.4">
      <c r="B14" s="312"/>
      <c r="C14" s="306"/>
      <c r="D14" s="571"/>
      <c r="E14" s="571"/>
      <c r="F14" s="313"/>
      <c r="G14" s="313"/>
      <c r="H14" s="313"/>
      <c r="I14" s="374"/>
      <c r="J14" s="340"/>
      <c r="K14" s="596"/>
      <c r="L14" s="340"/>
      <c r="M14" s="314"/>
      <c r="N14" s="297"/>
    </row>
    <row r="15" spans="2:248" ht="13.15" x14ac:dyDescent="0.4">
      <c r="B15" s="477" t="s">
        <v>56</v>
      </c>
      <c r="C15" s="478"/>
      <c r="D15" s="492"/>
      <c r="E15" s="492"/>
      <c r="F15" s="628"/>
      <c r="G15" s="628"/>
      <c r="H15" s="628"/>
      <c r="I15" s="684"/>
      <c r="J15" s="452"/>
      <c r="K15" s="597"/>
      <c r="L15" s="452"/>
      <c r="M15" s="284"/>
      <c r="N15" s="315"/>
      <c r="O15" s="147"/>
      <c r="Q15" s="28"/>
    </row>
    <row r="16" spans="2:248" ht="13.15" x14ac:dyDescent="0.4">
      <c r="B16" s="877" t="s">
        <v>514</v>
      </c>
      <c r="C16" s="478"/>
      <c r="D16" s="492">
        <v>11</v>
      </c>
      <c r="E16" s="492">
        <v>100</v>
      </c>
      <c r="F16" s="479">
        <v>175</v>
      </c>
      <c r="G16" s="479">
        <v>175</v>
      </c>
      <c r="H16" s="479">
        <v>175</v>
      </c>
      <c r="I16" s="652">
        <v>175</v>
      </c>
      <c r="J16" s="630">
        <v>0</v>
      </c>
      <c r="K16" s="597"/>
      <c r="L16" s="452" t="s">
        <v>71</v>
      </c>
      <c r="M16" s="284"/>
      <c r="N16" s="315"/>
      <c r="O16" s="147"/>
      <c r="Q16" s="28"/>
    </row>
    <row r="17" spans="2:22" ht="13.15" x14ac:dyDescent="0.4">
      <c r="B17" s="877" t="s">
        <v>577</v>
      </c>
      <c r="C17" s="478"/>
      <c r="D17" s="492">
        <v>11</v>
      </c>
      <c r="E17" s="492">
        <v>100</v>
      </c>
      <c r="F17" s="479">
        <v>1155</v>
      </c>
      <c r="G17" s="479">
        <v>1155</v>
      </c>
      <c r="H17" s="479">
        <v>1155</v>
      </c>
      <c r="I17" s="652">
        <v>1155</v>
      </c>
      <c r="J17" s="630">
        <v>8857</v>
      </c>
      <c r="K17" s="597"/>
      <c r="L17" s="452"/>
      <c r="M17" s="653"/>
      <c r="N17" s="784"/>
      <c r="O17" s="147"/>
      <c r="Q17" s="28"/>
    </row>
    <row r="18" spans="2:22" ht="13.15" x14ac:dyDescent="0.4">
      <c r="B18" s="877" t="s">
        <v>577</v>
      </c>
      <c r="C18" s="478"/>
      <c r="D18" s="492">
        <v>28</v>
      </c>
      <c r="E18" s="492">
        <v>100</v>
      </c>
      <c r="F18" s="479">
        <v>200</v>
      </c>
      <c r="G18" s="479">
        <v>200</v>
      </c>
      <c r="H18" s="479">
        <v>200</v>
      </c>
      <c r="I18" s="652">
        <v>200</v>
      </c>
      <c r="J18" s="630">
        <v>1179</v>
      </c>
      <c r="K18" s="597"/>
      <c r="L18" s="452"/>
      <c r="M18" s="653"/>
      <c r="N18" s="784"/>
      <c r="O18" s="147"/>
      <c r="Q18" s="28"/>
    </row>
    <row r="19" spans="2:22" ht="13.15" x14ac:dyDescent="0.4">
      <c r="B19" s="877" t="s">
        <v>738</v>
      </c>
      <c r="C19" s="478"/>
      <c r="D19" s="492">
        <v>11</v>
      </c>
      <c r="E19" s="492">
        <v>100</v>
      </c>
      <c r="F19" s="479">
        <v>257</v>
      </c>
      <c r="G19" s="479">
        <v>257</v>
      </c>
      <c r="H19" s="479">
        <v>257</v>
      </c>
      <c r="I19" s="652">
        <v>257</v>
      </c>
      <c r="J19" s="630">
        <v>17052</v>
      </c>
      <c r="K19" s="597"/>
      <c r="L19" s="452"/>
    </row>
    <row r="20" spans="2:22" ht="12.6" customHeight="1" x14ac:dyDescent="0.4">
      <c r="B20" s="877" t="s">
        <v>529</v>
      </c>
      <c r="C20" s="478"/>
      <c r="D20" s="492">
        <v>11</v>
      </c>
      <c r="E20" s="492">
        <v>100</v>
      </c>
      <c r="F20" s="479">
        <v>750</v>
      </c>
      <c r="G20" s="479">
        <v>750</v>
      </c>
      <c r="H20" s="479">
        <v>750</v>
      </c>
      <c r="I20" s="652">
        <v>0</v>
      </c>
      <c r="J20" s="630">
        <v>24439</v>
      </c>
      <c r="K20" s="597"/>
      <c r="L20" s="452"/>
      <c r="M20" s="285"/>
      <c r="N20" s="297"/>
    </row>
    <row r="21" spans="2:22" ht="12.6" customHeight="1" x14ac:dyDescent="0.4">
      <c r="B21" s="877" t="s">
        <v>543</v>
      </c>
      <c r="C21" s="480"/>
      <c r="D21" s="492">
        <v>11</v>
      </c>
      <c r="E21" s="492">
        <v>100</v>
      </c>
      <c r="F21" s="479">
        <v>800</v>
      </c>
      <c r="G21" s="479">
        <v>800</v>
      </c>
      <c r="H21" s="479">
        <v>800</v>
      </c>
      <c r="I21" s="652">
        <v>800</v>
      </c>
      <c r="J21" s="630">
        <v>24439</v>
      </c>
      <c r="K21" s="598"/>
      <c r="L21" s="452"/>
      <c r="M21" s="285"/>
      <c r="N21" s="297"/>
      <c r="V21" s="148"/>
    </row>
    <row r="22" spans="2:22" ht="12.6" customHeight="1" x14ac:dyDescent="0.4">
      <c r="B22" s="877" t="s">
        <v>532</v>
      </c>
      <c r="C22" s="480"/>
      <c r="D22" s="492">
        <v>11</v>
      </c>
      <c r="E22" s="492" t="s">
        <v>77</v>
      </c>
      <c r="F22" s="479">
        <v>2500</v>
      </c>
      <c r="G22" s="479">
        <v>2500</v>
      </c>
      <c r="H22" s="479">
        <v>2500</v>
      </c>
      <c r="I22" s="652">
        <v>2500</v>
      </c>
      <c r="J22" s="630">
        <v>24439</v>
      </c>
      <c r="K22" s="598"/>
      <c r="L22" s="452"/>
      <c r="M22" s="285"/>
      <c r="N22" s="297"/>
      <c r="V22" s="148"/>
    </row>
    <row r="23" spans="2:22" ht="12.6" customHeight="1" x14ac:dyDescent="0.4">
      <c r="B23" s="877" t="s">
        <v>1053</v>
      </c>
      <c r="C23" s="480"/>
      <c r="D23" s="492">
        <v>11</v>
      </c>
      <c r="E23" s="492" t="s">
        <v>77</v>
      </c>
      <c r="F23" s="479">
        <v>625</v>
      </c>
      <c r="G23" s="479">
        <f t="shared" ref="G23:I23" si="0">G22/2</f>
        <v>1250</v>
      </c>
      <c r="H23" s="479">
        <f t="shared" si="0"/>
        <v>1250</v>
      </c>
      <c r="I23" s="652">
        <f t="shared" si="0"/>
        <v>1250</v>
      </c>
      <c r="J23" s="630">
        <v>24439</v>
      </c>
      <c r="K23" s="598"/>
      <c r="L23" s="452"/>
      <c r="M23" s="285"/>
      <c r="N23" s="297"/>
      <c r="V23" s="148"/>
    </row>
    <row r="24" spans="2:22" ht="12.6" customHeight="1" x14ac:dyDescent="0.4">
      <c r="B24" s="877" t="s">
        <v>533</v>
      </c>
      <c r="C24" s="480"/>
      <c r="D24" s="492">
        <v>11</v>
      </c>
      <c r="E24" s="492">
        <v>100</v>
      </c>
      <c r="F24" s="479">
        <v>385</v>
      </c>
      <c r="G24" s="479">
        <v>385</v>
      </c>
      <c r="H24" s="479">
        <v>0</v>
      </c>
      <c r="I24" s="652">
        <v>0</v>
      </c>
      <c r="J24" s="630">
        <v>8469</v>
      </c>
      <c r="K24" s="598"/>
      <c r="L24" s="452"/>
      <c r="M24" s="285"/>
      <c r="N24" s="297"/>
      <c r="V24" s="148"/>
    </row>
    <row r="25" spans="2:22" ht="12.6" customHeight="1" x14ac:dyDescent="0.4">
      <c r="B25" s="877" t="s">
        <v>533</v>
      </c>
      <c r="C25" s="480"/>
      <c r="D25" s="492">
        <v>28</v>
      </c>
      <c r="E25" s="492">
        <v>100</v>
      </c>
      <c r="F25" s="479">
        <v>215</v>
      </c>
      <c r="G25" s="479">
        <v>215</v>
      </c>
      <c r="H25" s="479">
        <v>0</v>
      </c>
      <c r="I25" s="652">
        <v>0</v>
      </c>
      <c r="J25" s="630">
        <v>0</v>
      </c>
      <c r="K25" s="598"/>
      <c r="L25" s="452"/>
      <c r="M25" s="285"/>
      <c r="N25" s="297"/>
      <c r="V25" s="148"/>
    </row>
    <row r="26" spans="2:22" ht="12.6" customHeight="1" x14ac:dyDescent="0.4">
      <c r="B26" s="877" t="s">
        <v>534</v>
      </c>
      <c r="C26" s="478"/>
      <c r="D26" s="492">
        <v>11</v>
      </c>
      <c r="E26" s="492">
        <v>100</v>
      </c>
      <c r="F26" s="479">
        <v>770</v>
      </c>
      <c r="G26" s="479">
        <v>770</v>
      </c>
      <c r="H26" s="479">
        <v>770</v>
      </c>
      <c r="I26" s="652">
        <v>770</v>
      </c>
      <c r="J26" s="630">
        <v>8469</v>
      </c>
      <c r="K26" s="597"/>
      <c r="L26" s="452" t="s">
        <v>71</v>
      </c>
      <c r="M26" s="285"/>
      <c r="N26" s="297"/>
      <c r="V26" s="148"/>
    </row>
    <row r="27" spans="2:22" ht="12.6" customHeight="1" x14ac:dyDescent="0.4">
      <c r="B27" s="877" t="s">
        <v>535</v>
      </c>
      <c r="C27" s="478"/>
      <c r="D27" s="492">
        <v>28</v>
      </c>
      <c r="E27" s="492">
        <v>100</v>
      </c>
      <c r="F27" s="479">
        <v>-100</v>
      </c>
      <c r="G27" s="479">
        <v>-100</v>
      </c>
      <c r="H27" s="479">
        <v>-100</v>
      </c>
      <c r="I27" s="652">
        <v>-100</v>
      </c>
      <c r="J27" s="630">
        <v>-1395</v>
      </c>
      <c r="K27" s="597"/>
      <c r="L27" s="452" t="s">
        <v>71</v>
      </c>
      <c r="M27" s="285"/>
      <c r="N27" s="297"/>
      <c r="V27" s="148"/>
    </row>
    <row r="28" spans="2:22" ht="12.6" customHeight="1" x14ac:dyDescent="0.4">
      <c r="B28" s="877" t="s">
        <v>536</v>
      </c>
      <c r="C28" s="480"/>
      <c r="D28" s="492">
        <v>11</v>
      </c>
      <c r="E28" s="492">
        <v>100</v>
      </c>
      <c r="F28" s="479">
        <v>3080</v>
      </c>
      <c r="G28" s="479">
        <v>3080</v>
      </c>
      <c r="H28" s="479">
        <v>3080</v>
      </c>
      <c r="I28" s="652">
        <v>3080</v>
      </c>
      <c r="J28" s="630">
        <v>17716</v>
      </c>
      <c r="K28" s="598"/>
      <c r="L28" s="452"/>
      <c r="M28" s="285"/>
      <c r="N28" s="297"/>
      <c r="V28" s="148"/>
    </row>
    <row r="29" spans="2:22" ht="12.6" customHeight="1" x14ac:dyDescent="0.4">
      <c r="B29" s="877" t="s">
        <v>536</v>
      </c>
      <c r="C29" s="480"/>
      <c r="D29" s="492">
        <v>21</v>
      </c>
      <c r="E29" s="492">
        <v>100</v>
      </c>
      <c r="F29" s="479">
        <v>2000</v>
      </c>
      <c r="G29" s="479">
        <v>2000</v>
      </c>
      <c r="H29" s="479">
        <v>2000</v>
      </c>
      <c r="I29" s="652">
        <v>2000</v>
      </c>
      <c r="J29" s="630">
        <v>13453</v>
      </c>
      <c r="K29" s="598"/>
      <c r="L29" s="452"/>
      <c r="M29" s="285"/>
      <c r="N29" s="297"/>
      <c r="V29" s="148"/>
    </row>
    <row r="30" spans="2:22" ht="28.25" customHeight="1" x14ac:dyDescent="0.4">
      <c r="B30" s="877" t="s">
        <v>1080</v>
      </c>
      <c r="C30" s="478"/>
      <c r="D30" s="492">
        <v>11</v>
      </c>
      <c r="E30" s="492">
        <v>100</v>
      </c>
      <c r="F30" s="479">
        <v>3080</v>
      </c>
      <c r="G30" s="479">
        <v>3080</v>
      </c>
      <c r="H30" s="479">
        <v>3080</v>
      </c>
      <c r="I30" s="652">
        <v>3080</v>
      </c>
      <c r="J30" s="630"/>
      <c r="K30" s="597"/>
      <c r="L30" s="452" t="s">
        <v>71</v>
      </c>
      <c r="M30" s="285"/>
      <c r="N30" s="297"/>
      <c r="V30" s="148"/>
    </row>
    <row r="31" spans="2:22" ht="25.8" customHeight="1" x14ac:dyDescent="0.4">
      <c r="B31" s="877" t="s">
        <v>1080</v>
      </c>
      <c r="C31" s="478"/>
      <c r="D31" s="492">
        <v>21</v>
      </c>
      <c r="E31" s="492">
        <v>100</v>
      </c>
      <c r="F31" s="479">
        <v>2000</v>
      </c>
      <c r="G31" s="479">
        <v>2000</v>
      </c>
      <c r="H31" s="479">
        <v>2000</v>
      </c>
      <c r="I31" s="652">
        <v>2000</v>
      </c>
      <c r="J31" s="630"/>
      <c r="K31" s="597"/>
      <c r="L31" s="452" t="s">
        <v>71</v>
      </c>
      <c r="M31" s="285"/>
      <c r="N31" s="297"/>
      <c r="V31" s="148"/>
    </row>
    <row r="32" spans="2:22" ht="12.6" customHeight="1" x14ac:dyDescent="0.4">
      <c r="B32" s="877" t="s">
        <v>1048</v>
      </c>
      <c r="C32" s="478"/>
      <c r="D32" s="492">
        <v>11</v>
      </c>
      <c r="E32" s="492">
        <v>100</v>
      </c>
      <c r="F32" s="479">
        <f>F28*0.75</f>
        <v>2310</v>
      </c>
      <c r="G32" s="479">
        <v>3080</v>
      </c>
      <c r="H32" s="479">
        <v>3080</v>
      </c>
      <c r="I32" s="652">
        <v>3080</v>
      </c>
      <c r="J32" s="630">
        <v>17716</v>
      </c>
      <c r="K32" s="597"/>
      <c r="L32" s="452"/>
      <c r="M32" s="285"/>
      <c r="N32" s="297"/>
      <c r="V32" s="148"/>
    </row>
    <row r="33" spans="2:22" ht="12.6" customHeight="1" x14ac:dyDescent="0.4">
      <c r="B33" s="877" t="s">
        <v>1048</v>
      </c>
      <c r="C33" s="478"/>
      <c r="D33" s="492">
        <v>21</v>
      </c>
      <c r="E33" s="492">
        <v>100</v>
      </c>
      <c r="F33" s="479">
        <f>F29*0.75</f>
        <v>1500</v>
      </c>
      <c r="G33" s="479">
        <v>2000</v>
      </c>
      <c r="H33" s="479">
        <v>2000</v>
      </c>
      <c r="I33" s="652">
        <v>2000</v>
      </c>
      <c r="J33" s="630">
        <v>13453</v>
      </c>
      <c r="K33" s="597"/>
      <c r="L33" s="452"/>
      <c r="M33" s="285"/>
      <c r="N33" s="297"/>
      <c r="V33" s="148"/>
    </row>
    <row r="34" spans="2:22" ht="12.6" customHeight="1" x14ac:dyDescent="0.4">
      <c r="B34" s="877" t="s">
        <v>537</v>
      </c>
      <c r="C34" s="480"/>
      <c r="D34" s="492">
        <v>11</v>
      </c>
      <c r="E34" s="492">
        <v>100</v>
      </c>
      <c r="F34" s="479">
        <v>1540</v>
      </c>
      <c r="G34" s="479">
        <v>1540</v>
      </c>
      <c r="H34" s="479">
        <v>1540</v>
      </c>
      <c r="I34" s="652">
        <v>1540</v>
      </c>
      <c r="J34" s="630">
        <v>8857</v>
      </c>
      <c r="K34" s="598"/>
      <c r="L34" s="452"/>
      <c r="M34" s="285"/>
      <c r="N34" s="297"/>
      <c r="V34" s="148"/>
    </row>
    <row r="35" spans="2:22" ht="25.25" customHeight="1" x14ac:dyDescent="0.4">
      <c r="B35" s="877" t="s">
        <v>1047</v>
      </c>
      <c r="C35" s="480"/>
      <c r="D35" s="492">
        <v>11</v>
      </c>
      <c r="E35" s="492">
        <v>100</v>
      </c>
      <c r="F35" s="479">
        <f>0.82*G35</f>
        <v>2460</v>
      </c>
      <c r="G35" s="479">
        <v>3000</v>
      </c>
      <c r="H35" s="479">
        <v>3000</v>
      </c>
      <c r="I35" s="652">
        <v>3000</v>
      </c>
      <c r="J35" s="630">
        <v>8857</v>
      </c>
      <c r="K35" s="598"/>
      <c r="L35" s="452" t="s">
        <v>71</v>
      </c>
      <c r="M35" s="285"/>
      <c r="N35" s="297"/>
      <c r="V35" s="148"/>
    </row>
    <row r="36" spans="2:22" ht="25.25" customHeight="1" x14ac:dyDescent="0.4">
      <c r="B36" s="877" t="s">
        <v>1047</v>
      </c>
      <c r="C36" s="480"/>
      <c r="D36" s="492">
        <v>28</v>
      </c>
      <c r="E36" s="492">
        <v>100</v>
      </c>
      <c r="F36" s="479">
        <f>0.82*G36</f>
        <v>164</v>
      </c>
      <c r="G36" s="479">
        <v>200</v>
      </c>
      <c r="H36" s="479">
        <v>200</v>
      </c>
      <c r="I36" s="652">
        <v>200</v>
      </c>
      <c r="J36" s="630"/>
      <c r="K36" s="598"/>
      <c r="L36" s="452" t="s">
        <v>71</v>
      </c>
      <c r="M36" s="285"/>
      <c r="N36" s="297"/>
      <c r="V36" s="148"/>
    </row>
    <row r="37" spans="2:22" ht="12.6" customHeight="1" x14ac:dyDescent="0.4">
      <c r="B37" s="877" t="s">
        <v>538</v>
      </c>
      <c r="C37" s="478"/>
      <c r="D37" s="492">
        <v>11</v>
      </c>
      <c r="E37" s="492">
        <v>100</v>
      </c>
      <c r="F37" s="479">
        <v>770</v>
      </c>
      <c r="G37" s="479">
        <v>770</v>
      </c>
      <c r="H37" s="479">
        <v>770</v>
      </c>
      <c r="I37" s="652">
        <v>770</v>
      </c>
      <c r="J37" s="630">
        <v>17716</v>
      </c>
      <c r="K37" s="597"/>
      <c r="L37" s="452" t="s">
        <v>71</v>
      </c>
      <c r="M37" s="285"/>
      <c r="N37" s="297"/>
      <c r="V37" s="148"/>
    </row>
    <row r="38" spans="2:22" ht="12.6" customHeight="1" x14ac:dyDescent="0.4">
      <c r="B38" s="877" t="s">
        <v>538</v>
      </c>
      <c r="C38" s="478"/>
      <c r="D38" s="492">
        <v>21</v>
      </c>
      <c r="E38" s="492">
        <v>100</v>
      </c>
      <c r="F38" s="479">
        <v>500</v>
      </c>
      <c r="G38" s="479">
        <v>500</v>
      </c>
      <c r="H38" s="479">
        <v>500</v>
      </c>
      <c r="I38" s="652">
        <v>500</v>
      </c>
      <c r="J38" s="630">
        <v>1899</v>
      </c>
      <c r="K38" s="597"/>
      <c r="L38" s="452" t="s">
        <v>71</v>
      </c>
      <c r="M38" s="285"/>
      <c r="N38" s="297"/>
      <c r="V38" s="148"/>
    </row>
    <row r="39" spans="2:22" ht="12.6" customHeight="1" x14ac:dyDescent="0.4">
      <c r="B39" s="877" t="s">
        <v>607</v>
      </c>
      <c r="C39" s="480"/>
      <c r="D39" s="492">
        <v>11</v>
      </c>
      <c r="E39" s="492">
        <v>100</v>
      </c>
      <c r="F39" s="479">
        <v>330</v>
      </c>
      <c r="G39" s="479">
        <v>330</v>
      </c>
      <c r="H39" s="479">
        <v>330</v>
      </c>
      <c r="I39" s="652">
        <v>330</v>
      </c>
      <c r="J39" s="630">
        <v>13910</v>
      </c>
      <c r="K39" s="598"/>
      <c r="L39" s="452"/>
      <c r="M39" s="285"/>
      <c r="N39" s="297"/>
      <c r="V39" s="148"/>
    </row>
    <row r="40" spans="2:22" ht="12.6" customHeight="1" x14ac:dyDescent="0.4">
      <c r="B40" s="877" t="s">
        <v>606</v>
      </c>
      <c r="C40" s="480"/>
      <c r="D40" s="492">
        <v>11</v>
      </c>
      <c r="E40" s="492">
        <v>100</v>
      </c>
      <c r="F40" s="479">
        <v>385</v>
      </c>
      <c r="G40" s="479">
        <v>385</v>
      </c>
      <c r="H40" s="479">
        <v>385</v>
      </c>
      <c r="I40" s="652">
        <v>385</v>
      </c>
      <c r="J40" s="630">
        <v>17716</v>
      </c>
      <c r="K40" s="598"/>
      <c r="L40" s="452"/>
      <c r="M40" s="285"/>
      <c r="N40" s="297"/>
      <c r="V40" s="148"/>
    </row>
    <row r="41" spans="2:22" ht="12.6" customHeight="1" x14ac:dyDescent="0.4">
      <c r="B41" s="877" t="s">
        <v>617</v>
      </c>
      <c r="C41" s="480"/>
      <c r="D41" s="492">
        <v>12</v>
      </c>
      <c r="E41" s="492">
        <v>100</v>
      </c>
      <c r="F41" s="479"/>
      <c r="G41" s="479">
        <v>302</v>
      </c>
      <c r="H41" s="479">
        <v>302</v>
      </c>
      <c r="I41" s="652">
        <v>302</v>
      </c>
      <c r="J41" s="630"/>
      <c r="K41" s="598"/>
      <c r="L41" s="452"/>
      <c r="M41" s="285"/>
      <c r="N41" s="297"/>
      <c r="V41" s="148"/>
    </row>
    <row r="42" spans="2:22" ht="12.6" customHeight="1" x14ac:dyDescent="0.4">
      <c r="B42" s="877" t="s">
        <v>616</v>
      </c>
      <c r="C42" s="480"/>
      <c r="D42" s="492">
        <v>11</v>
      </c>
      <c r="E42" s="492">
        <v>100</v>
      </c>
      <c r="F42" s="479">
        <v>700</v>
      </c>
      <c r="G42" s="479">
        <v>700</v>
      </c>
      <c r="H42" s="479">
        <v>0</v>
      </c>
      <c r="I42" s="479">
        <v>0</v>
      </c>
      <c r="J42" s="630">
        <v>16286</v>
      </c>
      <c r="K42" s="598"/>
      <c r="L42" s="452"/>
      <c r="M42" s="285"/>
      <c r="N42" s="297"/>
      <c r="V42" s="148"/>
    </row>
    <row r="43" spans="2:22" ht="12.6" customHeight="1" x14ac:dyDescent="0.4">
      <c r="B43" s="877" t="s">
        <v>657</v>
      </c>
      <c r="C43" s="478"/>
      <c r="D43" s="492">
        <v>11</v>
      </c>
      <c r="E43" s="492">
        <v>100</v>
      </c>
      <c r="F43" s="479">
        <v>790</v>
      </c>
      <c r="G43" s="479">
        <v>790</v>
      </c>
      <c r="H43" s="479">
        <v>790</v>
      </c>
      <c r="I43" s="652">
        <v>790</v>
      </c>
      <c r="J43" s="630">
        <v>6678</v>
      </c>
      <c r="K43" s="597"/>
      <c r="L43" s="452" t="s">
        <v>71</v>
      </c>
      <c r="M43" s="285"/>
      <c r="N43" s="297"/>
      <c r="V43" s="148"/>
    </row>
    <row r="44" spans="2:22" ht="12.6" customHeight="1" x14ac:dyDescent="0.4">
      <c r="B44" s="877" t="s">
        <v>658</v>
      </c>
      <c r="C44" s="478"/>
      <c r="D44" s="492">
        <v>11</v>
      </c>
      <c r="E44" s="492">
        <v>100</v>
      </c>
      <c r="F44" s="479">
        <v>150</v>
      </c>
      <c r="G44" s="479">
        <v>0</v>
      </c>
      <c r="H44" s="479">
        <v>0</v>
      </c>
      <c r="I44" s="652">
        <v>0</v>
      </c>
      <c r="J44" s="630">
        <v>0</v>
      </c>
      <c r="K44" s="597"/>
      <c r="L44" s="452"/>
      <c r="M44" s="285"/>
      <c r="N44" s="297"/>
      <c r="V44" s="148"/>
    </row>
    <row r="45" spans="2:22" ht="12.6" customHeight="1" x14ac:dyDescent="0.4">
      <c r="B45" s="877" t="s">
        <v>880</v>
      </c>
      <c r="C45" s="480"/>
      <c r="D45" s="492">
        <v>11</v>
      </c>
      <c r="E45" s="492">
        <v>100</v>
      </c>
      <c r="F45" s="479">
        <v>130</v>
      </c>
      <c r="G45" s="479">
        <v>130</v>
      </c>
      <c r="H45" s="479">
        <v>130</v>
      </c>
      <c r="I45" s="479">
        <v>130</v>
      </c>
      <c r="J45" s="630"/>
      <c r="K45" s="598"/>
      <c r="L45" s="452"/>
      <c r="M45" s="285"/>
      <c r="N45" s="297"/>
      <c r="V45" s="148"/>
    </row>
    <row r="46" spans="2:22" ht="12.6" customHeight="1" x14ac:dyDescent="0.4">
      <c r="B46" s="877" t="s">
        <v>885</v>
      </c>
      <c r="C46" s="480"/>
      <c r="D46" s="492">
        <v>32</v>
      </c>
      <c r="E46" s="492">
        <v>100</v>
      </c>
      <c r="F46" s="479">
        <v>108</v>
      </c>
      <c r="G46" s="479">
        <v>108</v>
      </c>
      <c r="H46" s="479">
        <v>108</v>
      </c>
      <c r="I46" s="479">
        <v>108</v>
      </c>
      <c r="J46" s="630"/>
      <c r="K46" s="598"/>
      <c r="L46" s="452"/>
      <c r="M46" s="285"/>
      <c r="N46" s="297"/>
      <c r="V46" s="148"/>
    </row>
    <row r="47" spans="2:22" ht="12.6" customHeight="1" x14ac:dyDescent="0.4">
      <c r="B47" s="877" t="s">
        <v>882</v>
      </c>
      <c r="C47" s="480"/>
      <c r="D47" s="492">
        <v>34</v>
      </c>
      <c r="E47" s="492">
        <v>100</v>
      </c>
      <c r="F47" s="479">
        <v>57</v>
      </c>
      <c r="G47" s="479">
        <v>57</v>
      </c>
      <c r="H47" s="479">
        <v>57</v>
      </c>
      <c r="I47" s="479">
        <v>57</v>
      </c>
      <c r="J47" s="630"/>
      <c r="K47" s="598"/>
      <c r="L47" s="452"/>
      <c r="M47" s="285"/>
      <c r="N47" s="297"/>
      <c r="V47" s="148"/>
    </row>
    <row r="48" spans="2:22" ht="12.6" customHeight="1" x14ac:dyDescent="0.4">
      <c r="B48" s="877" t="s">
        <v>881</v>
      </c>
      <c r="C48" s="480"/>
      <c r="D48" s="492">
        <v>41</v>
      </c>
      <c r="E48" s="492">
        <v>100</v>
      </c>
      <c r="F48" s="479">
        <v>556</v>
      </c>
      <c r="G48" s="479">
        <v>556</v>
      </c>
      <c r="H48" s="479">
        <v>556</v>
      </c>
      <c r="I48" s="479">
        <v>556</v>
      </c>
      <c r="J48" s="630"/>
      <c r="K48" s="598"/>
      <c r="L48" s="452"/>
      <c r="M48" s="285"/>
      <c r="N48" s="297"/>
      <c r="V48" s="148"/>
    </row>
    <row r="49" spans="2:22" ht="12.6" customHeight="1" x14ac:dyDescent="0.4">
      <c r="B49" s="877" t="s">
        <v>883</v>
      </c>
      <c r="C49" s="480"/>
      <c r="D49" s="492">
        <v>42</v>
      </c>
      <c r="E49" s="492">
        <v>100</v>
      </c>
      <c r="F49" s="479">
        <v>47</v>
      </c>
      <c r="G49" s="479">
        <v>47</v>
      </c>
      <c r="H49" s="479">
        <v>47</v>
      </c>
      <c r="I49" s="479">
        <v>47</v>
      </c>
      <c r="J49" s="630"/>
      <c r="K49" s="598"/>
      <c r="L49" s="452"/>
      <c r="M49" s="285"/>
      <c r="N49" s="297"/>
      <c r="V49" s="148"/>
    </row>
    <row r="50" spans="2:22" ht="12.6" customHeight="1" x14ac:dyDescent="0.4">
      <c r="B50" s="877" t="s">
        <v>884</v>
      </c>
      <c r="C50" s="480"/>
      <c r="D50" s="492">
        <v>44</v>
      </c>
      <c r="E50" s="492">
        <v>100</v>
      </c>
      <c r="F50" s="479">
        <v>5</v>
      </c>
      <c r="G50" s="479">
        <v>5</v>
      </c>
      <c r="H50" s="479">
        <v>5</v>
      </c>
      <c r="I50" s="479">
        <v>5</v>
      </c>
      <c r="J50" s="630"/>
      <c r="K50" s="598"/>
      <c r="L50" s="452"/>
      <c r="M50" s="285"/>
      <c r="N50" s="297"/>
      <c r="V50" s="148"/>
    </row>
    <row r="51" spans="2:22" ht="12.6" customHeight="1" x14ac:dyDescent="0.4">
      <c r="B51" s="877" t="s">
        <v>886</v>
      </c>
      <c r="C51" s="480"/>
      <c r="D51" s="492">
        <v>11</v>
      </c>
      <c r="E51" s="492">
        <v>100</v>
      </c>
      <c r="F51" s="479">
        <v>199</v>
      </c>
      <c r="G51" s="479">
        <v>199</v>
      </c>
      <c r="H51" s="479">
        <v>199</v>
      </c>
      <c r="I51" s="479">
        <v>199</v>
      </c>
      <c r="J51" s="630"/>
      <c r="K51" s="598"/>
      <c r="L51" s="452"/>
      <c r="M51" s="285"/>
      <c r="N51" s="297"/>
      <c r="V51" s="148"/>
    </row>
    <row r="52" spans="2:22" ht="12.6" customHeight="1" x14ac:dyDescent="0.4">
      <c r="B52" s="877" t="s">
        <v>887</v>
      </c>
      <c r="C52" s="480"/>
      <c r="D52" s="492">
        <v>32</v>
      </c>
      <c r="E52" s="492">
        <v>100</v>
      </c>
      <c r="F52" s="479">
        <v>145</v>
      </c>
      <c r="G52" s="479">
        <v>145</v>
      </c>
      <c r="H52" s="479">
        <v>145</v>
      </c>
      <c r="I52" s="479">
        <v>145</v>
      </c>
      <c r="J52" s="630"/>
      <c r="K52" s="598"/>
      <c r="L52" s="452"/>
      <c r="M52" s="285"/>
      <c r="N52" s="297"/>
      <c r="V52" s="148"/>
    </row>
    <row r="53" spans="2:22" ht="12.6" customHeight="1" x14ac:dyDescent="0.4">
      <c r="B53" s="877" t="s">
        <v>888</v>
      </c>
      <c r="C53" s="480"/>
      <c r="D53" s="492">
        <v>34</v>
      </c>
      <c r="E53" s="492">
        <v>100</v>
      </c>
      <c r="F53" s="479">
        <v>90</v>
      </c>
      <c r="G53" s="479">
        <v>90</v>
      </c>
      <c r="H53" s="479">
        <v>90</v>
      </c>
      <c r="I53" s="479">
        <v>90</v>
      </c>
      <c r="J53" s="630"/>
      <c r="K53" s="598"/>
      <c r="L53" s="452"/>
      <c r="M53" s="285"/>
      <c r="N53" s="297"/>
      <c r="V53" s="148"/>
    </row>
    <row r="54" spans="2:22" ht="12.6" customHeight="1" x14ac:dyDescent="0.4">
      <c r="B54" s="877" t="s">
        <v>889</v>
      </c>
      <c r="C54" s="480"/>
      <c r="D54" s="492">
        <v>41</v>
      </c>
      <c r="E54" s="492">
        <v>100</v>
      </c>
      <c r="F54" s="479">
        <v>826</v>
      </c>
      <c r="G54" s="479">
        <v>826</v>
      </c>
      <c r="H54" s="479">
        <v>826</v>
      </c>
      <c r="I54" s="479">
        <v>826</v>
      </c>
      <c r="J54" s="630"/>
      <c r="K54" s="598"/>
      <c r="L54" s="452"/>
      <c r="M54" s="285"/>
      <c r="N54" s="297"/>
      <c r="V54" s="148"/>
    </row>
    <row r="55" spans="2:22" ht="12.6" customHeight="1" x14ac:dyDescent="0.4">
      <c r="B55" s="877" t="s">
        <v>890</v>
      </c>
      <c r="C55" s="480"/>
      <c r="D55" s="492">
        <v>42</v>
      </c>
      <c r="E55" s="492">
        <v>100</v>
      </c>
      <c r="F55" s="479">
        <v>78</v>
      </c>
      <c r="G55" s="479">
        <v>78</v>
      </c>
      <c r="H55" s="479">
        <v>78</v>
      </c>
      <c r="I55" s="479">
        <v>78</v>
      </c>
      <c r="J55" s="630"/>
      <c r="K55" s="598"/>
      <c r="L55" s="452"/>
      <c r="M55" s="285"/>
      <c r="N55" s="297"/>
      <c r="V55" s="148"/>
    </row>
    <row r="56" spans="2:22" ht="12.6" customHeight="1" x14ac:dyDescent="0.4">
      <c r="B56" s="877" t="s">
        <v>891</v>
      </c>
      <c r="C56" s="480"/>
      <c r="D56" s="492">
        <v>44</v>
      </c>
      <c r="E56" s="492">
        <v>100</v>
      </c>
      <c r="F56" s="479">
        <v>8</v>
      </c>
      <c r="G56" s="479">
        <v>8</v>
      </c>
      <c r="H56" s="479">
        <v>8</v>
      </c>
      <c r="I56" s="479">
        <v>8</v>
      </c>
      <c r="J56" s="630"/>
      <c r="K56" s="598"/>
      <c r="L56" s="452"/>
      <c r="M56" s="285"/>
      <c r="N56" s="297"/>
      <c r="V56" s="148"/>
    </row>
    <row r="57" spans="2:22" ht="12.6" customHeight="1" x14ac:dyDescent="0.4">
      <c r="B57" s="877" t="s">
        <v>852</v>
      </c>
      <c r="C57" s="480"/>
      <c r="D57" s="492">
        <v>11</v>
      </c>
      <c r="E57" s="492">
        <v>100</v>
      </c>
      <c r="F57" s="479"/>
      <c r="G57" s="479">
        <v>365</v>
      </c>
      <c r="H57" s="479">
        <v>325</v>
      </c>
      <c r="I57" s="479"/>
      <c r="J57" s="630"/>
      <c r="K57" s="598"/>
      <c r="L57" s="452"/>
      <c r="M57" s="285"/>
      <c r="N57" s="297"/>
      <c r="V57" s="148"/>
    </row>
    <row r="58" spans="2:22" ht="13.15" x14ac:dyDescent="0.4">
      <c r="B58" s="477"/>
      <c r="C58" s="478"/>
      <c r="D58" s="492"/>
      <c r="E58" s="492"/>
      <c r="F58" s="628"/>
      <c r="G58" s="629"/>
      <c r="H58" s="628"/>
      <c r="I58" s="684"/>
      <c r="J58" s="630"/>
      <c r="K58" s="914"/>
      <c r="L58" s="915"/>
      <c r="M58" s="285"/>
      <c r="N58" s="297"/>
    </row>
    <row r="59" spans="2:22" ht="13.15" x14ac:dyDescent="0.4">
      <c r="B59" s="477" t="s">
        <v>52</v>
      </c>
      <c r="C59" s="478"/>
      <c r="D59" s="492"/>
      <c r="E59" s="492"/>
      <c r="F59" s="479"/>
      <c r="G59" s="479"/>
      <c r="H59" s="479"/>
      <c r="I59" s="652"/>
      <c r="J59" s="630"/>
      <c r="K59" s="914"/>
      <c r="L59" s="915"/>
      <c r="M59" s="285"/>
      <c r="N59" s="297"/>
    </row>
    <row r="60" spans="2:22" ht="13.15" x14ac:dyDescent="0.4">
      <c r="B60" s="797" t="s">
        <v>510</v>
      </c>
      <c r="C60" s="478"/>
      <c r="D60" s="492">
        <v>12</v>
      </c>
      <c r="E60" s="492">
        <v>100</v>
      </c>
      <c r="F60" s="479">
        <v>40</v>
      </c>
      <c r="G60" s="479">
        <v>40</v>
      </c>
      <c r="H60" s="479">
        <v>40</v>
      </c>
      <c r="I60" s="652">
        <v>40</v>
      </c>
      <c r="J60" s="630">
        <v>8225</v>
      </c>
      <c r="K60" s="914"/>
      <c r="L60" s="452" t="s">
        <v>71</v>
      </c>
      <c r="M60" s="285"/>
      <c r="N60" s="297"/>
    </row>
    <row r="61" spans="2:22" ht="26.25" x14ac:dyDescent="0.4">
      <c r="B61" s="797" t="s">
        <v>513</v>
      </c>
      <c r="C61" s="478"/>
      <c r="D61" s="492">
        <v>12</v>
      </c>
      <c r="E61" s="492">
        <v>100</v>
      </c>
      <c r="F61" s="479">
        <v>0</v>
      </c>
      <c r="G61" s="479">
        <v>20</v>
      </c>
      <c r="H61" s="479">
        <v>20</v>
      </c>
      <c r="I61" s="652">
        <v>20</v>
      </c>
      <c r="J61" s="630">
        <v>8225</v>
      </c>
      <c r="K61" s="914"/>
      <c r="L61" s="452" t="s">
        <v>71</v>
      </c>
      <c r="M61" s="285"/>
      <c r="N61" s="297"/>
    </row>
    <row r="62" spans="2:22" ht="13.15" x14ac:dyDescent="0.4">
      <c r="B62" s="797" t="s">
        <v>530</v>
      </c>
      <c r="C62" s="478"/>
      <c r="D62" s="492">
        <v>12</v>
      </c>
      <c r="E62" s="492">
        <v>100</v>
      </c>
      <c r="F62" s="479">
        <v>230</v>
      </c>
      <c r="G62" s="479">
        <v>230</v>
      </c>
      <c r="H62" s="479">
        <v>230</v>
      </c>
      <c r="I62" s="652">
        <v>230</v>
      </c>
      <c r="J62" s="630">
        <v>8225</v>
      </c>
      <c r="K62" s="914"/>
      <c r="L62" s="915"/>
      <c r="M62" s="285"/>
      <c r="N62" s="297"/>
    </row>
    <row r="63" spans="2:22" ht="14.25" x14ac:dyDescent="0.45">
      <c r="B63" s="797" t="s">
        <v>531</v>
      </c>
      <c r="C63" s="478"/>
      <c r="D63" s="492">
        <v>12</v>
      </c>
      <c r="E63" s="492">
        <v>100</v>
      </c>
      <c r="F63" s="916">
        <v>150</v>
      </c>
      <c r="G63" s="479">
        <v>100</v>
      </c>
      <c r="H63" s="479">
        <v>100</v>
      </c>
      <c r="I63" s="652">
        <v>100</v>
      </c>
      <c r="J63" s="630">
        <v>8225</v>
      </c>
      <c r="K63" s="914"/>
      <c r="L63" s="915"/>
      <c r="M63" s="285"/>
      <c r="N63" s="297"/>
    </row>
    <row r="64" spans="2:22" ht="13.15" x14ac:dyDescent="0.4">
      <c r="B64" s="877" t="s">
        <v>644</v>
      </c>
      <c r="C64" s="478"/>
      <c r="D64" s="492">
        <v>12</v>
      </c>
      <c r="E64" s="492">
        <v>100</v>
      </c>
      <c r="F64" s="916">
        <v>240</v>
      </c>
      <c r="G64" s="479">
        <v>240</v>
      </c>
      <c r="H64" s="479">
        <v>240</v>
      </c>
      <c r="I64" s="652">
        <v>240</v>
      </c>
      <c r="J64" s="630">
        <v>0</v>
      </c>
      <c r="K64" s="914"/>
      <c r="L64" s="915" t="s">
        <v>71</v>
      </c>
      <c r="M64" s="284"/>
      <c r="N64" s="297"/>
    </row>
    <row r="65" spans="2:31" ht="13.15" x14ac:dyDescent="0.4">
      <c r="B65" s="877" t="s">
        <v>841</v>
      </c>
      <c r="C65" s="478"/>
      <c r="D65" s="492">
        <v>12</v>
      </c>
      <c r="E65" s="492">
        <v>100</v>
      </c>
      <c r="F65" s="916">
        <v>133</v>
      </c>
      <c r="G65" s="479">
        <v>133</v>
      </c>
      <c r="H65" s="479">
        <v>133</v>
      </c>
      <c r="I65" s="652">
        <v>133</v>
      </c>
      <c r="J65" s="630">
        <v>554</v>
      </c>
      <c r="K65" s="914"/>
      <c r="L65" s="915"/>
      <c r="M65" s="284"/>
      <c r="N65" s="297"/>
    </row>
    <row r="66" spans="2:31" ht="13.15" x14ac:dyDescent="0.4">
      <c r="B66" s="877"/>
      <c r="C66" s="478"/>
      <c r="D66" s="492"/>
      <c r="E66" s="492"/>
      <c r="F66" s="916"/>
      <c r="G66" s="628"/>
      <c r="H66" s="628"/>
      <c r="I66" s="684"/>
      <c r="J66" s="630"/>
      <c r="K66" s="914"/>
      <c r="L66" s="915"/>
      <c r="M66" s="284"/>
      <c r="N66" s="297"/>
    </row>
    <row r="67" spans="2:31" ht="13.15" x14ac:dyDescent="0.4">
      <c r="B67" s="477" t="s">
        <v>139</v>
      </c>
      <c r="C67" s="478"/>
      <c r="D67" s="492"/>
      <c r="E67" s="492"/>
      <c r="F67" s="628"/>
      <c r="G67" s="628"/>
      <c r="H67" s="628"/>
      <c r="I67" s="684"/>
      <c r="J67" s="630"/>
      <c r="K67" s="597"/>
      <c r="L67" s="452"/>
      <c r="M67" s="284"/>
      <c r="N67" s="297"/>
    </row>
    <row r="68" spans="2:31" ht="13.15" x14ac:dyDescent="0.4">
      <c r="B68" s="483" t="s">
        <v>512</v>
      </c>
      <c r="C68" s="478"/>
      <c r="D68" s="492">
        <v>13</v>
      </c>
      <c r="E68" s="492">
        <v>100</v>
      </c>
      <c r="F68" s="719">
        <v>90</v>
      </c>
      <c r="G68" s="736">
        <v>90</v>
      </c>
      <c r="H68" s="736">
        <v>90</v>
      </c>
      <c r="I68" s="737">
        <v>90</v>
      </c>
      <c r="J68" s="738">
        <v>140</v>
      </c>
      <c r="K68" s="917"/>
      <c r="L68" s="452"/>
      <c r="M68" s="284"/>
      <c r="N68" s="297"/>
      <c r="AE68" s="776"/>
    </row>
    <row r="69" spans="2:31" ht="13.15" x14ac:dyDescent="0.4">
      <c r="B69" s="483" t="s">
        <v>739</v>
      </c>
      <c r="C69" s="478"/>
      <c r="D69" s="492">
        <v>13</v>
      </c>
      <c r="E69" s="492">
        <v>100</v>
      </c>
      <c r="F69" s="719">
        <v>345</v>
      </c>
      <c r="G69" s="736">
        <v>345</v>
      </c>
      <c r="H69" s="736">
        <v>345</v>
      </c>
      <c r="I69" s="737">
        <v>345</v>
      </c>
      <c r="J69" s="738">
        <f>1214+327+166</f>
        <v>1707</v>
      </c>
      <c r="K69" s="917"/>
      <c r="L69" s="452"/>
      <c r="M69" s="284"/>
      <c r="N69" s="297"/>
    </row>
    <row r="70" spans="2:31" ht="13.15" x14ac:dyDescent="0.4">
      <c r="B70" s="483" t="s">
        <v>511</v>
      </c>
      <c r="C70" s="478"/>
      <c r="D70" s="492">
        <v>13</v>
      </c>
      <c r="E70" s="492">
        <v>100</v>
      </c>
      <c r="F70" s="719">
        <v>975</v>
      </c>
      <c r="G70" s="736">
        <v>975</v>
      </c>
      <c r="H70" s="736">
        <v>975</v>
      </c>
      <c r="I70" s="736">
        <v>975</v>
      </c>
      <c r="J70" s="738">
        <v>21985</v>
      </c>
      <c r="K70" s="917"/>
      <c r="L70" s="452"/>
      <c r="M70" s="284"/>
      <c r="N70" s="297"/>
    </row>
    <row r="71" spans="2:31" ht="13.15" x14ac:dyDescent="0.4">
      <c r="B71" s="483" t="s">
        <v>523</v>
      </c>
      <c r="C71" s="478"/>
      <c r="D71" s="492">
        <v>13</v>
      </c>
      <c r="E71" s="492">
        <v>100</v>
      </c>
      <c r="F71" s="719">
        <v>163</v>
      </c>
      <c r="G71" s="736">
        <v>163</v>
      </c>
      <c r="H71" s="736">
        <v>163</v>
      </c>
      <c r="I71" s="736">
        <v>163</v>
      </c>
      <c r="J71" s="738"/>
      <c r="K71" s="917"/>
      <c r="L71" s="452"/>
      <c r="M71" s="284"/>
      <c r="N71" s="297"/>
    </row>
    <row r="72" spans="2:31" ht="13.15" x14ac:dyDescent="0.4">
      <c r="B72" s="483" t="s">
        <v>523</v>
      </c>
      <c r="C72" s="478"/>
      <c r="D72" s="492">
        <v>12</v>
      </c>
      <c r="E72" s="492">
        <v>100</v>
      </c>
      <c r="F72" s="719"/>
      <c r="G72" s="736"/>
      <c r="H72" s="736"/>
      <c r="I72" s="736"/>
      <c r="J72" s="738"/>
      <c r="K72" s="917"/>
      <c r="L72" s="452"/>
      <c r="M72" s="284"/>
      <c r="N72" s="297"/>
    </row>
    <row r="73" spans="2:31" ht="13.15" x14ac:dyDescent="0.4">
      <c r="B73" s="483" t="s">
        <v>523</v>
      </c>
      <c r="C73" s="480"/>
      <c r="D73" s="492">
        <v>11</v>
      </c>
      <c r="E73" s="492">
        <v>100</v>
      </c>
      <c r="F73" s="479">
        <v>21</v>
      </c>
      <c r="G73" s="479">
        <v>21</v>
      </c>
      <c r="H73" s="479">
        <v>21</v>
      </c>
      <c r="I73" s="479">
        <v>21</v>
      </c>
      <c r="J73" s="630"/>
      <c r="K73" s="598"/>
      <c r="L73" s="452"/>
      <c r="M73" s="284"/>
      <c r="N73" s="297"/>
    </row>
    <row r="74" spans="2:31" ht="13.15" x14ac:dyDescent="0.4">
      <c r="B74" s="483" t="s">
        <v>524</v>
      </c>
      <c r="C74" s="478"/>
      <c r="D74" s="492">
        <v>13</v>
      </c>
      <c r="E74" s="492">
        <v>100</v>
      </c>
      <c r="F74" s="479">
        <v>307</v>
      </c>
      <c r="G74" s="479">
        <v>307</v>
      </c>
      <c r="H74" s="479">
        <v>307</v>
      </c>
      <c r="I74" s="479">
        <v>307</v>
      </c>
      <c r="J74" s="630"/>
      <c r="K74" s="598"/>
      <c r="L74" s="452"/>
      <c r="M74" s="284"/>
      <c r="N74" s="297"/>
    </row>
    <row r="75" spans="2:31" ht="13.15" x14ac:dyDescent="0.4">
      <c r="B75" s="483" t="s">
        <v>524</v>
      </c>
      <c r="C75" s="478"/>
      <c r="D75" s="492">
        <v>12</v>
      </c>
      <c r="E75" s="492">
        <v>100</v>
      </c>
      <c r="F75" s="479"/>
      <c r="G75" s="479"/>
      <c r="H75" s="479"/>
      <c r="I75" s="479"/>
      <c r="J75" s="630"/>
      <c r="K75" s="598"/>
      <c r="L75" s="452"/>
      <c r="M75" s="284"/>
      <c r="N75" s="297"/>
    </row>
    <row r="76" spans="2:31" ht="13.15" x14ac:dyDescent="0.4">
      <c r="B76" s="877" t="s">
        <v>524</v>
      </c>
      <c r="C76" s="480"/>
      <c r="D76" s="492">
        <v>11</v>
      </c>
      <c r="E76" s="492">
        <v>100</v>
      </c>
      <c r="F76" s="479">
        <v>21</v>
      </c>
      <c r="G76" s="479">
        <v>21</v>
      </c>
      <c r="H76" s="479">
        <v>21</v>
      </c>
      <c r="I76" s="479">
        <v>21</v>
      </c>
      <c r="J76" s="630"/>
      <c r="K76" s="598"/>
      <c r="L76" s="452"/>
      <c r="M76" s="284"/>
      <c r="N76" s="297"/>
    </row>
    <row r="77" spans="2:31" ht="13.15" x14ac:dyDescent="0.4">
      <c r="B77" s="877" t="s">
        <v>1089</v>
      </c>
      <c r="C77" s="480"/>
      <c r="D77" s="492">
        <v>13</v>
      </c>
      <c r="E77" s="492">
        <v>100</v>
      </c>
      <c r="F77" s="479">
        <v>100</v>
      </c>
      <c r="G77" s="479">
        <v>100</v>
      </c>
      <c r="H77" s="479">
        <v>100</v>
      </c>
      <c r="I77" s="479">
        <v>100</v>
      </c>
      <c r="J77" s="630"/>
      <c r="K77" s="598"/>
      <c r="L77" s="452" t="s">
        <v>71</v>
      </c>
      <c r="M77" s="284"/>
      <c r="N77" s="297"/>
    </row>
    <row r="78" spans="2:31" ht="13.15" x14ac:dyDescent="0.4">
      <c r="B78" s="877" t="s">
        <v>1089</v>
      </c>
      <c r="C78" s="480"/>
      <c r="D78" s="492">
        <v>12</v>
      </c>
      <c r="E78" s="492">
        <v>100</v>
      </c>
      <c r="F78" s="479"/>
      <c r="G78" s="479"/>
      <c r="H78" s="479"/>
      <c r="I78" s="479"/>
      <c r="J78" s="630"/>
      <c r="K78" s="598"/>
      <c r="L78" s="452" t="s">
        <v>71</v>
      </c>
      <c r="M78" s="284"/>
      <c r="N78" s="297"/>
    </row>
    <row r="79" spans="2:31" ht="13.15" x14ac:dyDescent="0.4">
      <c r="B79" s="877" t="s">
        <v>1089</v>
      </c>
      <c r="C79" s="480"/>
      <c r="D79" s="492">
        <v>11</v>
      </c>
      <c r="E79" s="492">
        <v>100</v>
      </c>
      <c r="F79" s="479">
        <v>21</v>
      </c>
      <c r="G79" s="479">
        <v>21</v>
      </c>
      <c r="H79" s="479">
        <v>21</v>
      </c>
      <c r="I79" s="479">
        <v>21</v>
      </c>
      <c r="J79" s="630"/>
      <c r="K79" s="598"/>
      <c r="L79" s="452" t="s">
        <v>71</v>
      </c>
      <c r="M79" s="284"/>
      <c r="N79" s="297"/>
    </row>
    <row r="80" spans="2:31" ht="13.15" x14ac:dyDescent="0.4">
      <c r="B80" s="483"/>
      <c r="C80" s="480"/>
      <c r="D80" s="492"/>
      <c r="E80" s="492"/>
      <c r="F80" s="479"/>
      <c r="G80" s="479"/>
      <c r="H80" s="479"/>
      <c r="I80" s="479"/>
      <c r="J80" s="630"/>
      <c r="K80" s="598"/>
      <c r="L80" s="452"/>
      <c r="M80" s="284"/>
      <c r="N80" s="297"/>
    </row>
    <row r="81" spans="2:33" ht="13.15" x14ac:dyDescent="0.4">
      <c r="B81" s="477" t="s">
        <v>157</v>
      </c>
      <c r="C81" s="478"/>
      <c r="D81" s="492"/>
      <c r="E81" s="492"/>
      <c r="F81" s="479"/>
      <c r="G81" s="479"/>
      <c r="H81" s="479"/>
      <c r="I81" s="652"/>
      <c r="J81" s="630"/>
      <c r="K81" s="917"/>
      <c r="L81" s="452"/>
      <c r="M81" s="284"/>
      <c r="N81" s="297"/>
    </row>
    <row r="82" spans="2:33" ht="13.15" x14ac:dyDescent="0.4">
      <c r="B82" s="918" t="s">
        <v>566</v>
      </c>
      <c r="C82" s="480"/>
      <c r="D82" s="492">
        <v>21</v>
      </c>
      <c r="E82" s="492">
        <v>100</v>
      </c>
      <c r="F82" s="479">
        <v>400</v>
      </c>
      <c r="G82" s="479">
        <v>400</v>
      </c>
      <c r="H82" s="479">
        <v>400</v>
      </c>
      <c r="I82" s="479">
        <v>400</v>
      </c>
      <c r="J82" s="630">
        <v>13453</v>
      </c>
      <c r="K82" s="598"/>
      <c r="L82" s="452" t="s">
        <v>71</v>
      </c>
      <c r="M82" s="284"/>
      <c r="N82" s="297"/>
    </row>
    <row r="83" spans="2:33" ht="13.15" x14ac:dyDescent="0.4">
      <c r="B83" s="918" t="s">
        <v>566</v>
      </c>
      <c r="C83" s="480"/>
      <c r="D83" s="492">
        <v>11</v>
      </c>
      <c r="E83" s="492">
        <v>100</v>
      </c>
      <c r="F83" s="479">
        <v>385</v>
      </c>
      <c r="G83" s="479">
        <v>385</v>
      </c>
      <c r="H83" s="479">
        <v>385</v>
      </c>
      <c r="I83" s="479">
        <v>385</v>
      </c>
      <c r="J83" s="630">
        <v>17716</v>
      </c>
      <c r="K83" s="598"/>
      <c r="L83" s="452" t="s">
        <v>71</v>
      </c>
      <c r="M83" s="284"/>
      <c r="N83" s="297"/>
      <c r="AF83" s="28" t="s">
        <v>155</v>
      </c>
    </row>
    <row r="84" spans="2:33" ht="13.15" x14ac:dyDescent="0.4">
      <c r="B84" s="918" t="s">
        <v>567</v>
      </c>
      <c r="C84" s="480"/>
      <c r="D84" s="492">
        <v>21</v>
      </c>
      <c r="E84" s="492">
        <v>100</v>
      </c>
      <c r="F84" s="479">
        <v>400</v>
      </c>
      <c r="G84" s="479">
        <v>400</v>
      </c>
      <c r="H84" s="479">
        <v>400</v>
      </c>
      <c r="I84" s="479">
        <v>400</v>
      </c>
      <c r="J84" s="630">
        <v>13453</v>
      </c>
      <c r="K84" s="598"/>
      <c r="L84" s="452"/>
      <c r="M84" s="284"/>
      <c r="N84" s="297"/>
    </row>
    <row r="85" spans="2:33" ht="13.15" x14ac:dyDescent="0.4">
      <c r="B85" s="918" t="s">
        <v>567</v>
      </c>
      <c r="C85" s="480"/>
      <c r="D85" s="492">
        <v>11</v>
      </c>
      <c r="E85" s="492">
        <v>100</v>
      </c>
      <c r="F85" s="479">
        <v>385</v>
      </c>
      <c r="G85" s="479">
        <v>385</v>
      </c>
      <c r="H85" s="479">
        <v>385</v>
      </c>
      <c r="I85" s="479">
        <v>385</v>
      </c>
      <c r="J85" s="630">
        <v>17716</v>
      </c>
      <c r="K85" s="598"/>
      <c r="L85" s="452"/>
      <c r="M85" s="284"/>
      <c r="N85" s="297"/>
    </row>
    <row r="86" spans="2:33" ht="13.15" x14ac:dyDescent="0.4">
      <c r="B86" s="918" t="s">
        <v>576</v>
      </c>
      <c r="C86" s="480"/>
      <c r="D86" s="492">
        <v>21</v>
      </c>
      <c r="E86" s="492">
        <v>100</v>
      </c>
      <c r="F86" s="479">
        <v>500</v>
      </c>
      <c r="G86" s="479">
        <v>500</v>
      </c>
      <c r="H86" s="479">
        <v>0</v>
      </c>
      <c r="I86" s="479">
        <v>0</v>
      </c>
      <c r="J86" s="630">
        <v>13453</v>
      </c>
      <c r="K86" s="598"/>
      <c r="L86" s="452"/>
      <c r="M86" s="284"/>
      <c r="N86" s="297"/>
    </row>
    <row r="87" spans="2:33" ht="13.15" x14ac:dyDescent="0.4">
      <c r="B87" s="918" t="s">
        <v>740</v>
      </c>
      <c r="C87" s="480"/>
      <c r="D87" s="492">
        <v>21</v>
      </c>
      <c r="E87" s="492">
        <v>100</v>
      </c>
      <c r="F87" s="479"/>
      <c r="G87" s="479"/>
      <c r="H87" s="479"/>
      <c r="I87" s="479"/>
      <c r="J87" s="630"/>
      <c r="K87" s="598"/>
      <c r="L87" s="452"/>
      <c r="M87" s="284"/>
      <c r="N87" s="297"/>
    </row>
    <row r="88" spans="2:33" ht="13.15" x14ac:dyDescent="0.4">
      <c r="B88" s="918"/>
      <c r="C88" s="480"/>
      <c r="D88" s="492"/>
      <c r="E88" s="492"/>
      <c r="F88" s="479"/>
      <c r="G88" s="479"/>
      <c r="H88" s="479"/>
      <c r="I88" s="479"/>
      <c r="J88" s="630"/>
      <c r="K88" s="598"/>
      <c r="L88" s="452"/>
      <c r="M88" s="284"/>
      <c r="N88" s="297"/>
    </row>
    <row r="89" spans="2:33" ht="13.15" x14ac:dyDescent="0.4">
      <c r="B89" s="918"/>
      <c r="C89" s="480"/>
      <c r="D89" s="492"/>
      <c r="E89" s="492"/>
      <c r="F89" s="479"/>
      <c r="G89" s="479"/>
      <c r="H89" s="479"/>
      <c r="I89" s="479"/>
      <c r="J89" s="630"/>
      <c r="K89" s="598"/>
      <c r="L89" s="452"/>
      <c r="M89" s="284"/>
      <c r="N89" s="297"/>
    </row>
    <row r="90" spans="2:33" ht="13.15" x14ac:dyDescent="0.4">
      <c r="B90" s="477" t="s">
        <v>135</v>
      </c>
      <c r="C90" s="482"/>
      <c r="D90" s="492"/>
      <c r="E90" s="492"/>
      <c r="F90" s="628"/>
      <c r="G90" s="628"/>
      <c r="H90" s="628"/>
      <c r="I90" s="684"/>
      <c r="J90" s="630"/>
      <c r="K90" s="597"/>
      <c r="L90" s="452"/>
      <c r="M90" s="284"/>
      <c r="N90" s="297"/>
    </row>
    <row r="91" spans="2:33" ht="13.15" x14ac:dyDescent="0.4">
      <c r="B91" s="483" t="s">
        <v>741</v>
      </c>
      <c r="C91" s="478"/>
      <c r="D91" s="492"/>
      <c r="E91" s="492"/>
      <c r="F91" s="479"/>
      <c r="G91" s="479"/>
      <c r="H91" s="479"/>
      <c r="I91" s="652"/>
      <c r="J91" s="630"/>
      <c r="K91" s="597"/>
      <c r="L91" s="452"/>
      <c r="M91" s="284"/>
      <c r="N91" s="297"/>
      <c r="AG91" s="28" t="s">
        <v>155</v>
      </c>
    </row>
    <row r="92" spans="2:33" ht="13.15" x14ac:dyDescent="0.4">
      <c r="B92" s="483"/>
      <c r="C92" s="478"/>
      <c r="D92" s="492"/>
      <c r="E92" s="492"/>
      <c r="F92" s="479"/>
      <c r="G92" s="479"/>
      <c r="H92" s="479"/>
      <c r="I92" s="652"/>
      <c r="J92" s="630"/>
      <c r="K92" s="597"/>
      <c r="L92" s="452"/>
      <c r="M92" s="284"/>
      <c r="N92" s="297"/>
    </row>
    <row r="93" spans="2:33" ht="13.15" x14ac:dyDescent="0.4">
      <c r="B93" s="477" t="s">
        <v>128</v>
      </c>
      <c r="C93" s="478"/>
      <c r="D93" s="492"/>
      <c r="E93" s="492"/>
      <c r="F93" s="628"/>
      <c r="G93" s="628"/>
      <c r="H93" s="628"/>
      <c r="I93" s="684"/>
      <c r="J93" s="630"/>
      <c r="K93" s="597"/>
      <c r="L93" s="452"/>
      <c r="M93" s="284"/>
      <c r="N93" s="297"/>
    </row>
    <row r="94" spans="2:33" ht="13.15" x14ac:dyDescent="0.4">
      <c r="B94" s="918" t="s">
        <v>741</v>
      </c>
      <c r="C94" s="480"/>
      <c r="D94" s="492"/>
      <c r="E94" s="492"/>
      <c r="F94" s="479"/>
      <c r="G94" s="479"/>
      <c r="H94" s="479"/>
      <c r="I94" s="479"/>
      <c r="J94" s="630"/>
      <c r="K94" s="598"/>
      <c r="L94" s="452"/>
      <c r="M94" s="284"/>
      <c r="N94" s="297"/>
    </row>
    <row r="95" spans="2:33" ht="13.15" x14ac:dyDescent="0.4">
      <c r="B95" s="918"/>
      <c r="C95" s="480"/>
      <c r="D95" s="492"/>
      <c r="E95" s="492"/>
      <c r="F95" s="479"/>
      <c r="G95" s="479"/>
      <c r="H95" s="479"/>
      <c r="I95" s="479"/>
      <c r="J95" s="630"/>
      <c r="K95" s="598"/>
      <c r="L95" s="452"/>
      <c r="M95" s="653"/>
      <c r="N95" s="317"/>
    </row>
    <row r="96" spans="2:33" ht="13.15" x14ac:dyDescent="0.4">
      <c r="B96" s="483"/>
      <c r="C96" s="478"/>
      <c r="D96" s="492"/>
      <c r="E96" s="492"/>
      <c r="F96" s="479"/>
      <c r="G96" s="479"/>
      <c r="H96" s="479"/>
      <c r="I96" s="652"/>
      <c r="J96" s="630"/>
      <c r="K96" s="597"/>
      <c r="L96" s="452"/>
      <c r="M96" s="284"/>
      <c r="N96" s="297"/>
    </row>
    <row r="97" spans="2:35" ht="13.15" x14ac:dyDescent="0.4">
      <c r="B97" s="477" t="s">
        <v>58</v>
      </c>
      <c r="C97" s="478"/>
      <c r="D97" s="492"/>
      <c r="E97" s="492"/>
      <c r="F97" s="479"/>
      <c r="G97" s="479"/>
      <c r="H97" s="479"/>
      <c r="I97" s="652"/>
      <c r="J97" s="630"/>
      <c r="K97" s="597"/>
      <c r="L97" s="452"/>
      <c r="M97" s="297"/>
      <c r="S97" s="28"/>
      <c r="V97" s="148"/>
      <c r="W97" s="148"/>
      <c r="X97" s="148"/>
      <c r="Y97" s="148"/>
      <c r="Z97" s="148"/>
      <c r="AA97" s="148"/>
      <c r="AB97" s="148"/>
      <c r="AC97" s="148"/>
      <c r="AD97" s="148"/>
    </row>
    <row r="98" spans="2:35" ht="13.15" x14ac:dyDescent="0.4">
      <c r="B98" s="877" t="s">
        <v>741</v>
      </c>
      <c r="C98" s="479"/>
      <c r="D98" s="479"/>
      <c r="E98" s="492"/>
      <c r="F98" s="479"/>
      <c r="G98" s="479"/>
      <c r="H98" s="479"/>
      <c r="I98" s="652"/>
      <c r="J98" s="630"/>
      <c r="K98" s="574"/>
      <c r="L98" s="452"/>
      <c r="M98" s="297"/>
      <c r="S98" s="28"/>
      <c r="V98" s="148"/>
      <c r="W98" s="148"/>
      <c r="X98" s="148"/>
      <c r="Y98" s="148"/>
      <c r="Z98" s="148"/>
      <c r="AA98" s="148"/>
      <c r="AB98" s="148"/>
      <c r="AC98" s="148"/>
      <c r="AD98" s="148"/>
      <c r="AE98" s="776"/>
    </row>
    <row r="99" spans="2:35" ht="13.15" x14ac:dyDescent="0.4">
      <c r="B99" s="877"/>
      <c r="C99" s="479"/>
      <c r="D99" s="479"/>
      <c r="E99" s="481"/>
      <c r="F99" s="479"/>
      <c r="G99" s="479"/>
      <c r="H99" s="479"/>
      <c r="I99" s="652"/>
      <c r="J99" s="630"/>
      <c r="K99" s="574"/>
      <c r="L99" s="452"/>
      <c r="M99" s="317"/>
      <c r="S99" s="28"/>
      <c r="V99" s="148"/>
      <c r="W99" s="148"/>
      <c r="X99" s="148"/>
      <c r="Y99" s="148"/>
      <c r="Z99" s="148"/>
      <c r="AA99" s="148"/>
      <c r="AB99" s="148"/>
      <c r="AC99" s="148"/>
      <c r="AD99" s="148"/>
      <c r="AE99" s="776"/>
    </row>
    <row r="100" spans="2:35" ht="13.15" x14ac:dyDescent="0.4">
      <c r="B100" s="877"/>
      <c r="C100" s="479"/>
      <c r="D100" s="479"/>
      <c r="E100" s="492"/>
      <c r="F100" s="479"/>
      <c r="G100" s="479"/>
      <c r="H100" s="479"/>
      <c r="I100" s="652"/>
      <c r="J100" s="630"/>
      <c r="K100" s="574"/>
      <c r="L100" s="452"/>
    </row>
    <row r="101" spans="2:35" ht="13.15" x14ac:dyDescent="0.4">
      <c r="B101" s="792" t="s">
        <v>434</v>
      </c>
      <c r="C101" s="479"/>
      <c r="D101" s="479"/>
      <c r="E101" s="492"/>
      <c r="F101" s="479"/>
      <c r="G101" s="479"/>
      <c r="H101" s="479"/>
      <c r="I101" s="652"/>
      <c r="J101" s="630"/>
      <c r="K101" s="574"/>
      <c r="L101" s="452"/>
    </row>
    <row r="102" spans="2:35" ht="39.4" x14ac:dyDescent="0.4">
      <c r="B102" s="877" t="s">
        <v>654</v>
      </c>
      <c r="C102" s="479"/>
      <c r="D102" s="479">
        <v>32</v>
      </c>
      <c r="E102" s="492">
        <v>100</v>
      </c>
      <c r="F102" s="479">
        <v>900</v>
      </c>
      <c r="G102" s="479">
        <v>900</v>
      </c>
      <c r="H102" s="479">
        <v>900</v>
      </c>
      <c r="I102" s="652">
        <v>900</v>
      </c>
      <c r="J102" s="630">
        <v>3403</v>
      </c>
      <c r="K102" s="574"/>
      <c r="L102" s="452" t="s">
        <v>71</v>
      </c>
    </row>
    <row r="103" spans="2:35" ht="13.15" x14ac:dyDescent="0.4">
      <c r="B103" s="877"/>
      <c r="C103" s="479"/>
      <c r="D103" s="479"/>
      <c r="E103" s="492"/>
      <c r="F103" s="479"/>
      <c r="G103" s="479"/>
      <c r="H103" s="479"/>
      <c r="I103" s="652"/>
      <c r="J103" s="630"/>
      <c r="K103" s="574"/>
      <c r="L103" s="452"/>
    </row>
    <row r="104" spans="2:35" ht="13.15" x14ac:dyDescent="0.4">
      <c r="B104" s="792" t="s">
        <v>436</v>
      </c>
      <c r="C104" s="479"/>
      <c r="D104" s="479"/>
      <c r="E104" s="492"/>
      <c r="F104" s="479"/>
      <c r="G104" s="479"/>
      <c r="H104" s="479"/>
      <c r="I104" s="652"/>
      <c r="J104" s="630"/>
      <c r="K104" s="574"/>
      <c r="L104" s="452"/>
      <c r="V104" s="148"/>
      <c r="W104" s="148"/>
      <c r="X104" s="148"/>
      <c r="Y104" s="148"/>
      <c r="Z104" s="148"/>
      <c r="AA104" s="148"/>
      <c r="AB104" s="148"/>
      <c r="AC104" s="148"/>
      <c r="AD104" s="148"/>
      <c r="AF104" s="147"/>
      <c r="AG104" s="147"/>
      <c r="AH104" s="147"/>
      <c r="AI104" s="147"/>
    </row>
    <row r="105" spans="2:35" ht="13.15" x14ac:dyDescent="0.4">
      <c r="B105" s="877" t="s">
        <v>1074</v>
      </c>
      <c r="C105" s="479"/>
      <c r="D105" s="479"/>
      <c r="E105" s="492"/>
      <c r="F105" s="479"/>
      <c r="G105" s="479"/>
      <c r="H105" s="479"/>
      <c r="I105" s="652"/>
      <c r="J105" s="630"/>
      <c r="K105" s="574"/>
      <c r="L105" s="452"/>
      <c r="V105" s="148"/>
      <c r="W105" s="148"/>
      <c r="X105" s="148"/>
      <c r="Y105" s="148"/>
      <c r="Z105" s="148"/>
      <c r="AA105" s="148"/>
      <c r="AB105" s="148"/>
      <c r="AC105" s="148"/>
      <c r="AD105" s="148"/>
      <c r="AF105" s="147"/>
      <c r="AG105" s="147"/>
      <c r="AH105" s="147"/>
      <c r="AI105" s="147"/>
    </row>
    <row r="106" spans="2:35" ht="13.15" x14ac:dyDescent="0.4">
      <c r="B106" s="877"/>
      <c r="C106" s="479"/>
      <c r="D106" s="479"/>
      <c r="E106" s="492"/>
      <c r="F106" s="479"/>
      <c r="G106" s="479"/>
      <c r="H106" s="479"/>
      <c r="I106" s="652"/>
      <c r="J106" s="630"/>
      <c r="K106" s="574"/>
      <c r="L106" s="452"/>
    </row>
    <row r="107" spans="2:35" ht="13.15" x14ac:dyDescent="0.4">
      <c r="B107" s="477" t="s">
        <v>295</v>
      </c>
      <c r="C107" s="479"/>
      <c r="D107" s="479"/>
      <c r="E107" s="492"/>
      <c r="F107" s="479"/>
      <c r="G107" s="479"/>
      <c r="H107" s="479"/>
      <c r="I107" s="652"/>
      <c r="J107" s="630"/>
      <c r="K107" s="574"/>
      <c r="L107" s="452"/>
    </row>
    <row r="108" spans="2:35" ht="13.15" x14ac:dyDescent="0.4">
      <c r="B108" s="919" t="s">
        <v>742</v>
      </c>
      <c r="C108" s="478"/>
      <c r="D108" s="492"/>
      <c r="E108" s="492"/>
      <c r="F108" s="628"/>
      <c r="G108" s="628"/>
      <c r="H108" s="628"/>
      <c r="I108" s="684"/>
      <c r="J108" s="452"/>
      <c r="K108" s="917"/>
      <c r="L108" s="452"/>
    </row>
    <row r="109" spans="2:35" ht="13.15" x14ac:dyDescent="0.4">
      <c r="B109" s="919"/>
      <c r="C109" s="478"/>
      <c r="D109" s="492"/>
      <c r="E109" s="492"/>
      <c r="F109" s="628"/>
      <c r="G109" s="628"/>
      <c r="H109" s="628"/>
      <c r="I109" s="684"/>
      <c r="J109" s="452"/>
      <c r="K109" s="917"/>
      <c r="L109" s="452"/>
    </row>
    <row r="110" spans="2:35" ht="13.15" x14ac:dyDescent="0.4">
      <c r="B110" s="919"/>
      <c r="C110" s="478"/>
      <c r="D110" s="492"/>
      <c r="E110" s="492"/>
      <c r="F110" s="628"/>
      <c r="G110" s="628"/>
      <c r="H110" s="628"/>
      <c r="I110" s="684"/>
      <c r="J110" s="452"/>
      <c r="K110" s="917"/>
      <c r="L110" s="452"/>
    </row>
    <row r="111" spans="2:35" ht="13.15" x14ac:dyDescent="0.4">
      <c r="B111" s="477" t="s">
        <v>63</v>
      </c>
      <c r="C111" s="478"/>
      <c r="D111" s="492"/>
      <c r="E111" s="492"/>
      <c r="F111" s="628"/>
      <c r="G111" s="628"/>
      <c r="H111" s="628"/>
      <c r="I111" s="652"/>
      <c r="J111" s="452"/>
      <c r="K111" s="597"/>
      <c r="L111" s="452"/>
    </row>
    <row r="112" spans="2:35" ht="13.5" customHeight="1" x14ac:dyDescent="0.4">
      <c r="B112" s="877" t="s">
        <v>582</v>
      </c>
      <c r="C112" s="481"/>
      <c r="D112" s="481">
        <v>34</v>
      </c>
      <c r="E112" s="481">
        <v>100</v>
      </c>
      <c r="F112" s="481"/>
      <c r="G112" s="481"/>
      <c r="H112" s="481"/>
      <c r="I112" s="855"/>
      <c r="J112" s="630">
        <v>28084</v>
      </c>
      <c r="K112" s="597"/>
      <c r="L112" s="452"/>
    </row>
    <row r="113" spans="2:30" ht="26.25" x14ac:dyDescent="0.4">
      <c r="B113" s="877" t="s">
        <v>743</v>
      </c>
      <c r="C113" s="481"/>
      <c r="D113" s="481">
        <v>34</v>
      </c>
      <c r="E113" s="481">
        <v>100</v>
      </c>
      <c r="F113" s="481">
        <v>2346</v>
      </c>
      <c r="G113" s="481">
        <v>2346</v>
      </c>
      <c r="H113" s="481">
        <v>2346</v>
      </c>
      <c r="I113" s="855">
        <v>2346</v>
      </c>
      <c r="J113" s="630">
        <v>28084</v>
      </c>
      <c r="K113" s="597"/>
      <c r="L113" s="452"/>
    </row>
    <row r="114" spans="2:30" ht="26.25" x14ac:dyDescent="0.4">
      <c r="B114" s="877" t="s">
        <v>583</v>
      </c>
      <c r="C114" s="481"/>
      <c r="D114" s="481">
        <v>34</v>
      </c>
      <c r="E114" s="481">
        <v>100</v>
      </c>
      <c r="F114" s="481">
        <v>1866</v>
      </c>
      <c r="G114" s="481">
        <v>1866</v>
      </c>
      <c r="H114" s="481">
        <v>1866</v>
      </c>
      <c r="I114" s="855">
        <v>1866</v>
      </c>
      <c r="J114" s="630">
        <v>28084</v>
      </c>
      <c r="K114" s="597"/>
      <c r="L114" s="452"/>
    </row>
    <row r="115" spans="2:30" ht="26.25" x14ac:dyDescent="0.4">
      <c r="B115" s="877" t="s">
        <v>744</v>
      </c>
      <c r="C115" s="481"/>
      <c r="D115" s="481">
        <v>34</v>
      </c>
      <c r="E115" s="481">
        <v>100</v>
      </c>
      <c r="F115" s="481">
        <v>1135</v>
      </c>
      <c r="G115" s="481">
        <v>1135</v>
      </c>
      <c r="H115" s="481">
        <v>1135</v>
      </c>
      <c r="I115" s="855">
        <v>1135</v>
      </c>
      <c r="J115" s="630">
        <v>28084</v>
      </c>
      <c r="K115" s="597"/>
      <c r="L115" s="452" t="s">
        <v>71</v>
      </c>
    </row>
    <row r="116" spans="2:30" ht="13.15" x14ac:dyDescent="0.4">
      <c r="B116" s="877" t="s">
        <v>659</v>
      </c>
      <c r="C116" s="481"/>
      <c r="D116" s="481">
        <v>34</v>
      </c>
      <c r="E116" s="481">
        <v>100</v>
      </c>
      <c r="F116" s="481">
        <v>568</v>
      </c>
      <c r="G116" s="481">
        <v>568</v>
      </c>
      <c r="H116" s="481">
        <v>568</v>
      </c>
      <c r="I116" s="855">
        <v>568</v>
      </c>
      <c r="J116" s="630"/>
      <c r="K116" s="597"/>
      <c r="L116" s="452"/>
    </row>
    <row r="117" spans="2:30" ht="13.15" x14ac:dyDescent="0.4">
      <c r="B117" s="877" t="s">
        <v>745</v>
      </c>
      <c r="C117" s="480"/>
      <c r="D117" s="492">
        <v>34</v>
      </c>
      <c r="E117" s="492">
        <v>100</v>
      </c>
      <c r="F117" s="479">
        <v>40</v>
      </c>
      <c r="G117" s="479">
        <v>40</v>
      </c>
      <c r="H117" s="479">
        <v>40</v>
      </c>
      <c r="I117" s="652">
        <v>40</v>
      </c>
      <c r="J117" s="630">
        <v>0</v>
      </c>
      <c r="K117" s="598"/>
      <c r="L117" s="452" t="s">
        <v>71</v>
      </c>
    </row>
    <row r="118" spans="2:30" ht="13.15" x14ac:dyDescent="0.4">
      <c r="B118" s="877" t="s">
        <v>698</v>
      </c>
      <c r="C118" s="480"/>
      <c r="D118" s="492">
        <v>34</v>
      </c>
      <c r="E118" s="492">
        <v>100</v>
      </c>
      <c r="F118" s="479">
        <v>615</v>
      </c>
      <c r="G118" s="479">
        <v>615</v>
      </c>
      <c r="H118" s="479">
        <v>615</v>
      </c>
      <c r="I118" s="652">
        <v>771</v>
      </c>
      <c r="J118" s="630">
        <v>4560</v>
      </c>
      <c r="K118" s="598"/>
      <c r="L118" s="452" t="s">
        <v>71</v>
      </c>
    </row>
    <row r="119" spans="2:30" ht="13.15" x14ac:dyDescent="0.4">
      <c r="B119" s="877"/>
      <c r="C119" s="480"/>
      <c r="D119" s="492"/>
      <c r="E119" s="492"/>
      <c r="F119" s="479"/>
      <c r="G119" s="479"/>
      <c r="H119" s="479"/>
      <c r="I119" s="479"/>
      <c r="J119" s="630"/>
      <c r="K119" s="598"/>
      <c r="L119" s="452"/>
      <c r="M119" s="284"/>
      <c r="N119" s="297"/>
    </row>
    <row r="120" spans="2:30" ht="13.15" x14ac:dyDescent="0.4">
      <c r="B120" s="477" t="s">
        <v>105</v>
      </c>
      <c r="C120" s="482"/>
      <c r="D120" s="920"/>
      <c r="E120" s="920"/>
      <c r="F120" s="479"/>
      <c r="G120" s="479"/>
      <c r="H120" s="479"/>
      <c r="I120" s="652"/>
      <c r="J120" s="452"/>
      <c r="K120" s="597"/>
      <c r="L120" s="452"/>
      <c r="M120" s="284"/>
      <c r="N120" s="297"/>
    </row>
    <row r="121" spans="2:30" ht="13.15" x14ac:dyDescent="0.4">
      <c r="B121" s="483" t="s">
        <v>525</v>
      </c>
      <c r="C121" s="482"/>
      <c r="D121" s="492">
        <v>35</v>
      </c>
      <c r="E121" s="492">
        <v>100</v>
      </c>
      <c r="F121" s="479">
        <v>1400</v>
      </c>
      <c r="G121" s="479">
        <v>1400</v>
      </c>
      <c r="H121" s="479">
        <v>1400</v>
      </c>
      <c r="I121" s="652">
        <v>1400</v>
      </c>
      <c r="J121" s="630">
        <v>45658</v>
      </c>
      <c r="K121" s="597"/>
      <c r="L121" s="452"/>
      <c r="M121" s="653"/>
      <c r="N121" s="317"/>
    </row>
    <row r="122" spans="2:30" ht="13.15" x14ac:dyDescent="0.4">
      <c r="B122" s="877"/>
      <c r="C122" s="480"/>
      <c r="D122" s="492"/>
      <c r="E122" s="492"/>
      <c r="F122" s="479"/>
      <c r="G122" s="479"/>
      <c r="H122" s="479"/>
      <c r="I122" s="652"/>
      <c r="J122" s="630"/>
      <c r="K122" s="597"/>
      <c r="L122" s="780"/>
      <c r="M122" s="653"/>
      <c r="N122" s="317"/>
    </row>
    <row r="123" spans="2:30" ht="13.15" x14ac:dyDescent="0.4">
      <c r="B123" s="792" t="s">
        <v>433</v>
      </c>
      <c r="C123" s="480"/>
      <c r="D123" s="492"/>
      <c r="E123" s="492"/>
      <c r="F123" s="479"/>
      <c r="G123" s="479"/>
      <c r="H123" s="479"/>
      <c r="I123" s="652"/>
      <c r="J123" s="630"/>
      <c r="K123" s="598"/>
      <c r="L123" s="452"/>
      <c r="M123" s="653"/>
      <c r="N123" s="317"/>
      <c r="V123" s="148"/>
      <c r="W123" s="148"/>
      <c r="X123" s="148"/>
      <c r="Y123" s="148"/>
      <c r="Z123" s="148"/>
      <c r="AA123" s="148"/>
      <c r="AB123" s="148"/>
      <c r="AC123" s="148"/>
      <c r="AD123" s="148"/>
    </row>
    <row r="124" spans="2:30" ht="26.25" x14ac:dyDescent="0.4">
      <c r="B124" s="877" t="s">
        <v>561</v>
      </c>
      <c r="C124" s="480"/>
      <c r="D124" s="492">
        <v>38</v>
      </c>
      <c r="E124" s="492">
        <v>100</v>
      </c>
      <c r="F124" s="479">
        <v>100</v>
      </c>
      <c r="G124" s="479">
        <v>100</v>
      </c>
      <c r="H124" s="479">
        <v>100</v>
      </c>
      <c r="I124" s="652">
        <v>100</v>
      </c>
      <c r="J124" s="630">
        <v>6907</v>
      </c>
      <c r="K124" s="598"/>
      <c r="L124" s="452" t="s">
        <v>71</v>
      </c>
      <c r="P124" s="28"/>
      <c r="Q124" s="28"/>
      <c r="R124" s="28"/>
      <c r="S124" s="28"/>
    </row>
    <row r="125" spans="2:30" ht="13.15" x14ac:dyDescent="0.4">
      <c r="B125" s="877" t="s">
        <v>568</v>
      </c>
      <c r="C125" s="480"/>
      <c r="D125" s="492">
        <v>38</v>
      </c>
      <c r="E125" s="492">
        <v>100</v>
      </c>
      <c r="F125" s="479">
        <v>100</v>
      </c>
      <c r="G125" s="479">
        <v>100</v>
      </c>
      <c r="H125" s="479">
        <v>100</v>
      </c>
      <c r="I125" s="652">
        <v>100</v>
      </c>
      <c r="J125" s="630">
        <v>0</v>
      </c>
      <c r="K125" s="598"/>
      <c r="L125" s="452"/>
      <c r="P125" s="28"/>
      <c r="Q125" s="28"/>
      <c r="R125" s="28"/>
      <c r="S125" s="28"/>
    </row>
    <row r="126" spans="2:30" ht="13.15" x14ac:dyDescent="0.4">
      <c r="B126" s="877"/>
      <c r="C126" s="480"/>
      <c r="D126" s="492"/>
      <c r="E126" s="492"/>
      <c r="F126" s="479"/>
      <c r="G126" s="479"/>
      <c r="H126" s="479"/>
      <c r="I126" s="652"/>
      <c r="J126" s="630"/>
      <c r="K126" s="597"/>
      <c r="L126" s="780"/>
      <c r="P126" s="28"/>
      <c r="Q126" s="28"/>
      <c r="R126" s="28"/>
      <c r="S126" s="28"/>
    </row>
    <row r="127" spans="2:30" s="148" customFormat="1" ht="13.15" x14ac:dyDescent="0.4">
      <c r="B127" s="477" t="s">
        <v>53</v>
      </c>
      <c r="C127" s="478" t="s">
        <v>72</v>
      </c>
      <c r="D127" s="920"/>
      <c r="E127" s="920"/>
      <c r="F127" s="628"/>
      <c r="G127" s="628"/>
      <c r="H127" s="628"/>
      <c r="I127" s="684"/>
      <c r="J127" s="452"/>
      <c r="K127" s="597"/>
      <c r="L127" s="452"/>
      <c r="M127" s="284"/>
      <c r="N127" s="316"/>
      <c r="P127" s="218"/>
      <c r="Q127" s="218"/>
      <c r="R127" s="218"/>
      <c r="S127" s="218"/>
    </row>
    <row r="128" spans="2:30" s="148" customFormat="1" ht="13.15" x14ac:dyDescent="0.4">
      <c r="B128" s="877" t="s">
        <v>945</v>
      </c>
      <c r="C128" s="480"/>
      <c r="D128" s="492">
        <v>41</v>
      </c>
      <c r="E128" s="492">
        <v>100</v>
      </c>
      <c r="F128" s="479">
        <v>11351</v>
      </c>
      <c r="G128" s="479">
        <v>11351</v>
      </c>
      <c r="H128" s="479">
        <v>11351</v>
      </c>
      <c r="I128" s="652">
        <v>11351</v>
      </c>
      <c r="J128" s="630">
        <v>272987</v>
      </c>
      <c r="K128" s="598"/>
      <c r="L128" s="452"/>
      <c r="M128" s="284"/>
      <c r="N128" s="316"/>
      <c r="P128" s="218"/>
      <c r="Q128" s="218"/>
      <c r="R128" s="218"/>
      <c r="S128" s="218"/>
    </row>
    <row r="129" spans="2:30" s="148" customFormat="1" ht="13.15" x14ac:dyDescent="0.4">
      <c r="B129" s="877" t="s">
        <v>946</v>
      </c>
      <c r="C129" s="480"/>
      <c r="D129" s="492">
        <v>41</v>
      </c>
      <c r="E129" s="492">
        <v>100</v>
      </c>
      <c r="F129" s="479">
        <v>7487</v>
      </c>
      <c r="G129" s="479">
        <v>7487</v>
      </c>
      <c r="H129" s="479">
        <v>7487</v>
      </c>
      <c r="I129" s="652">
        <v>7487</v>
      </c>
      <c r="J129" s="630">
        <v>272987</v>
      </c>
      <c r="K129" s="598"/>
      <c r="L129" s="452"/>
      <c r="M129" s="284"/>
      <c r="N129" s="316"/>
      <c r="P129" s="218"/>
      <c r="Q129" s="218"/>
      <c r="R129" s="218"/>
      <c r="S129" s="218"/>
    </row>
    <row r="130" spans="2:30" s="148" customFormat="1" ht="13.15" x14ac:dyDescent="0.4">
      <c r="B130" s="877" t="s">
        <v>1049</v>
      </c>
      <c r="C130" s="480"/>
      <c r="D130" s="492">
        <v>41</v>
      </c>
      <c r="E130" s="492">
        <v>100</v>
      </c>
      <c r="F130" s="479">
        <v>8920</v>
      </c>
      <c r="G130" s="479">
        <v>8920</v>
      </c>
      <c r="H130" s="479">
        <v>8920</v>
      </c>
      <c r="I130" s="652">
        <v>8920</v>
      </c>
      <c r="J130" s="630">
        <v>272987</v>
      </c>
      <c r="K130" s="598"/>
      <c r="L130" s="452" t="s">
        <v>71</v>
      </c>
      <c r="M130" s="284"/>
      <c r="N130" s="316"/>
      <c r="P130" s="218"/>
      <c r="Q130" s="218"/>
      <c r="R130" s="218"/>
      <c r="S130" s="218"/>
    </row>
    <row r="131" spans="2:30" ht="13.15" x14ac:dyDescent="0.4">
      <c r="B131" s="921"/>
      <c r="C131" s="480"/>
      <c r="D131" s="920"/>
      <c r="E131" s="920"/>
      <c r="F131" s="479"/>
      <c r="G131" s="479"/>
      <c r="H131" s="479"/>
      <c r="I131" s="652"/>
      <c r="J131" s="630"/>
      <c r="K131" s="597"/>
      <c r="L131" s="780"/>
    </row>
    <row r="132" spans="2:30" ht="13.15" x14ac:dyDescent="0.4">
      <c r="B132" s="477" t="s">
        <v>453</v>
      </c>
      <c r="C132" s="478"/>
      <c r="D132" s="492"/>
      <c r="E132" s="492"/>
      <c r="F132" s="479"/>
      <c r="G132" s="479"/>
      <c r="H132" s="479"/>
      <c r="I132" s="652"/>
      <c r="J132" s="630"/>
      <c r="K132" s="597"/>
      <c r="L132" s="780"/>
    </row>
    <row r="133" spans="2:30" ht="13.15" x14ac:dyDescent="0.4">
      <c r="B133" s="877" t="s">
        <v>548</v>
      </c>
      <c r="C133" s="479"/>
      <c r="D133" s="479">
        <v>42</v>
      </c>
      <c r="E133" s="492">
        <v>100</v>
      </c>
      <c r="F133" s="479">
        <v>1667</v>
      </c>
      <c r="G133" s="479">
        <v>4000</v>
      </c>
      <c r="H133" s="479">
        <v>4000</v>
      </c>
      <c r="I133" s="652">
        <v>4000</v>
      </c>
      <c r="J133" s="630">
        <v>215000</v>
      </c>
      <c r="K133" s="597"/>
      <c r="L133" s="780" t="s">
        <v>71</v>
      </c>
    </row>
    <row r="134" spans="2:30" ht="26.25" x14ac:dyDescent="0.4">
      <c r="B134" s="877" t="s">
        <v>549</v>
      </c>
      <c r="C134" s="479"/>
      <c r="D134" s="479">
        <v>42</v>
      </c>
      <c r="E134" s="492">
        <v>100</v>
      </c>
      <c r="F134" s="479">
        <v>2100</v>
      </c>
      <c r="G134" s="479">
        <v>2100</v>
      </c>
      <c r="H134" s="479">
        <v>2100</v>
      </c>
      <c r="I134" s="652">
        <v>2100</v>
      </c>
      <c r="J134" s="630">
        <v>49600</v>
      </c>
      <c r="K134" s="597"/>
      <c r="L134" s="780"/>
    </row>
    <row r="135" spans="2:30" ht="13.15" x14ac:dyDescent="0.4">
      <c r="B135" s="877" t="s">
        <v>550</v>
      </c>
      <c r="C135" s="479"/>
      <c r="D135" s="479">
        <v>42</v>
      </c>
      <c r="E135" s="492">
        <v>100</v>
      </c>
      <c r="F135" s="479">
        <v>1930</v>
      </c>
      <c r="G135" s="479">
        <v>1930</v>
      </c>
      <c r="H135" s="479">
        <v>1930</v>
      </c>
      <c r="I135" s="652">
        <v>1930</v>
      </c>
      <c r="J135" s="630">
        <v>8163</v>
      </c>
      <c r="K135" s="597"/>
      <c r="L135" s="780"/>
    </row>
    <row r="136" spans="2:30" ht="26.25" x14ac:dyDescent="0.4">
      <c r="B136" s="877" t="s">
        <v>551</v>
      </c>
      <c r="C136" s="479"/>
      <c r="D136" s="479">
        <v>42</v>
      </c>
      <c r="E136" s="492">
        <v>100</v>
      </c>
      <c r="F136" s="479">
        <v>616</v>
      </c>
      <c r="G136" s="479">
        <v>1750</v>
      </c>
      <c r="H136" s="479">
        <v>1750</v>
      </c>
      <c r="I136" s="652">
        <v>1750</v>
      </c>
      <c r="J136" s="630">
        <v>2400</v>
      </c>
      <c r="K136" s="597"/>
      <c r="L136" s="780"/>
    </row>
    <row r="137" spans="2:30" ht="40.5" customHeight="1" x14ac:dyDescent="0.4">
      <c r="B137" s="877" t="s">
        <v>639</v>
      </c>
      <c r="C137" s="479"/>
      <c r="D137" s="479">
        <v>42</v>
      </c>
      <c r="E137" s="492">
        <v>100</v>
      </c>
      <c r="F137" s="479">
        <v>1300</v>
      </c>
      <c r="G137" s="479">
        <v>1300</v>
      </c>
      <c r="H137" s="479">
        <v>1300</v>
      </c>
      <c r="I137" s="652">
        <v>1300</v>
      </c>
      <c r="J137" s="630">
        <v>18300</v>
      </c>
      <c r="K137" s="597"/>
      <c r="L137" s="780" t="s">
        <v>71</v>
      </c>
      <c r="V137" s="148"/>
      <c r="W137" s="148"/>
      <c r="X137" s="148"/>
      <c r="Y137" s="148"/>
      <c r="Z137" s="148"/>
      <c r="AA137" s="148"/>
      <c r="AB137" s="148"/>
      <c r="AC137" s="148"/>
      <c r="AD137" s="148"/>
    </row>
    <row r="138" spans="2:30" ht="13.15" x14ac:dyDescent="0.4">
      <c r="B138" s="877" t="s">
        <v>1073</v>
      </c>
      <c r="C138" s="479"/>
      <c r="D138" s="479">
        <v>42</v>
      </c>
      <c r="E138" s="492">
        <v>100</v>
      </c>
      <c r="F138" s="479">
        <v>100</v>
      </c>
      <c r="G138" s="479">
        <v>100</v>
      </c>
      <c r="H138" s="479">
        <v>100</v>
      </c>
      <c r="I138" s="652">
        <v>100</v>
      </c>
      <c r="J138" s="630"/>
      <c r="K138" s="597"/>
      <c r="L138" s="780" t="s">
        <v>71</v>
      </c>
    </row>
    <row r="139" spans="2:30" ht="13.15" x14ac:dyDescent="0.4">
      <c r="B139" s="877"/>
      <c r="C139" s="479"/>
      <c r="D139" s="479"/>
      <c r="E139" s="492"/>
      <c r="F139" s="479"/>
      <c r="G139" s="479"/>
      <c r="H139" s="479"/>
      <c r="I139" s="652"/>
      <c r="J139" s="630"/>
      <c r="K139" s="597"/>
      <c r="L139" s="780"/>
    </row>
    <row r="140" spans="2:30" ht="13.15" x14ac:dyDescent="0.4">
      <c r="B140" s="497"/>
      <c r="C140" s="478"/>
      <c r="D140" s="492"/>
      <c r="E140" s="492"/>
      <c r="F140" s="479"/>
      <c r="G140" s="479"/>
      <c r="H140" s="479"/>
      <c r="I140" s="652"/>
      <c r="J140" s="452"/>
      <c r="K140" s="917"/>
      <c r="L140" s="452"/>
      <c r="M140" s="284"/>
      <c r="N140" s="297"/>
    </row>
    <row r="141" spans="2:30" ht="13.15" x14ac:dyDescent="0.4">
      <c r="B141" s="477" t="s">
        <v>103</v>
      </c>
      <c r="C141" s="478"/>
      <c r="D141" s="492"/>
      <c r="E141" s="492"/>
      <c r="F141" s="628"/>
      <c r="G141" s="628"/>
      <c r="H141" s="628"/>
      <c r="I141" s="684"/>
      <c r="J141" s="452"/>
      <c r="K141" s="597"/>
      <c r="L141" s="452"/>
      <c r="M141" s="284"/>
      <c r="N141" s="297"/>
      <c r="O141" s="495" t="s">
        <v>216</v>
      </c>
    </row>
    <row r="142" spans="2:30" ht="13.15" x14ac:dyDescent="0.4">
      <c r="B142" s="877" t="s">
        <v>741</v>
      </c>
      <c r="C142" s="478"/>
      <c r="D142" s="492"/>
      <c r="E142" s="492"/>
      <c r="F142" s="688"/>
      <c r="G142" s="688"/>
      <c r="H142" s="688"/>
      <c r="I142" s="689"/>
      <c r="J142" s="686"/>
      <c r="K142" s="917"/>
      <c r="L142" s="452"/>
      <c r="M142" s="284"/>
      <c r="N142" s="297"/>
    </row>
    <row r="143" spans="2:30" ht="13.15" x14ac:dyDescent="0.4">
      <c r="B143" s="877"/>
      <c r="C143" s="478"/>
      <c r="D143" s="492"/>
      <c r="E143" s="492"/>
      <c r="F143" s="688"/>
      <c r="G143" s="688"/>
      <c r="H143" s="688"/>
      <c r="I143" s="689"/>
      <c r="J143" s="686"/>
      <c r="K143" s="917"/>
      <c r="L143" s="452"/>
      <c r="M143" s="284"/>
      <c r="N143" s="297"/>
      <c r="V143" s="148"/>
      <c r="W143" s="148"/>
      <c r="X143" s="148"/>
      <c r="Y143" s="148"/>
      <c r="Z143" s="148"/>
      <c r="AA143" s="148"/>
      <c r="AB143" s="148"/>
      <c r="AC143" s="148"/>
      <c r="AD143" s="148"/>
    </row>
    <row r="144" spans="2:30" ht="13.15" x14ac:dyDescent="0.4">
      <c r="B144" s="877"/>
      <c r="C144" s="478"/>
      <c r="D144" s="492"/>
      <c r="E144" s="492"/>
      <c r="F144" s="688"/>
      <c r="G144" s="688"/>
      <c r="H144" s="688"/>
      <c r="I144" s="689"/>
      <c r="J144" s="686"/>
      <c r="K144" s="917"/>
      <c r="L144" s="452"/>
      <c r="M144" s="284"/>
      <c r="N144" s="297"/>
    </row>
    <row r="145" spans="2:30" ht="13.15" x14ac:dyDescent="0.4">
      <c r="B145" s="877"/>
      <c r="C145" s="479"/>
      <c r="D145" s="479"/>
      <c r="E145" s="492"/>
      <c r="F145" s="479"/>
      <c r="G145" s="479"/>
      <c r="H145" s="479"/>
      <c r="I145" s="652"/>
      <c r="J145" s="630"/>
      <c r="K145" s="597"/>
      <c r="L145" s="780"/>
      <c r="M145" s="284"/>
      <c r="N145" s="297"/>
    </row>
    <row r="146" spans="2:30" ht="13.15" x14ac:dyDescent="0.4">
      <c r="B146" s="477" t="s">
        <v>55</v>
      </c>
      <c r="C146" s="478"/>
      <c r="D146" s="492"/>
      <c r="E146" s="492"/>
      <c r="F146" s="628"/>
      <c r="G146" s="628"/>
      <c r="H146" s="628"/>
      <c r="I146" s="684"/>
      <c r="J146" s="452"/>
      <c r="K146" s="597"/>
      <c r="L146" s="452"/>
      <c r="M146" s="284"/>
      <c r="N146" s="297"/>
    </row>
    <row r="147" spans="2:30" ht="13.15" x14ac:dyDescent="0.4">
      <c r="B147" s="483" t="s">
        <v>573</v>
      </c>
      <c r="C147" s="478"/>
      <c r="D147" s="492">
        <v>44</v>
      </c>
      <c r="E147" s="492">
        <v>100</v>
      </c>
      <c r="F147" s="688">
        <v>1150</v>
      </c>
      <c r="G147" s="688">
        <v>1150</v>
      </c>
      <c r="H147" s="688">
        <v>1150</v>
      </c>
      <c r="I147" s="689">
        <v>1150</v>
      </c>
      <c r="J147" s="686">
        <v>20900</v>
      </c>
      <c r="K147" s="917"/>
      <c r="L147" s="452"/>
      <c r="M147" s="317"/>
      <c r="S147" s="28"/>
      <c r="V147" s="148"/>
      <c r="W147" s="148"/>
      <c r="X147" s="148"/>
      <c r="Y147" s="148"/>
      <c r="Z147" s="148"/>
      <c r="AA147" s="148"/>
      <c r="AB147" s="148"/>
      <c r="AC147" s="148"/>
      <c r="AD147" s="148"/>
    </row>
    <row r="148" spans="2:30" ht="26.25" x14ac:dyDescent="0.4">
      <c r="B148" s="797" t="s">
        <v>822</v>
      </c>
      <c r="C148" s="478"/>
      <c r="D148" s="492">
        <v>44</v>
      </c>
      <c r="E148" s="492">
        <v>100</v>
      </c>
      <c r="F148" s="688">
        <v>90</v>
      </c>
      <c r="G148" s="688">
        <v>580</v>
      </c>
      <c r="H148" s="688">
        <v>980</v>
      </c>
      <c r="I148" s="689">
        <v>980</v>
      </c>
      <c r="J148" s="686">
        <v>10800</v>
      </c>
      <c r="K148" s="917"/>
      <c r="L148" s="452" t="s">
        <v>71</v>
      </c>
      <c r="M148" s="317"/>
      <c r="S148" s="28"/>
      <c r="V148" s="148"/>
      <c r="W148" s="148"/>
      <c r="X148" s="148"/>
      <c r="Y148" s="148"/>
      <c r="Z148" s="148"/>
      <c r="AA148" s="148"/>
      <c r="AB148" s="148"/>
      <c r="AC148" s="148"/>
      <c r="AD148" s="148"/>
    </row>
    <row r="149" spans="2:30" ht="26.25" x14ac:dyDescent="0.4">
      <c r="B149" s="797" t="s">
        <v>823</v>
      </c>
      <c r="C149" s="478"/>
      <c r="D149" s="492">
        <v>44</v>
      </c>
      <c r="E149" s="492">
        <v>100</v>
      </c>
      <c r="F149" s="688">
        <v>1617</v>
      </c>
      <c r="G149" s="688">
        <v>936</v>
      </c>
      <c r="H149" s="688">
        <v>496</v>
      </c>
      <c r="I149" s="689">
        <v>534</v>
      </c>
      <c r="J149" s="686">
        <v>10800</v>
      </c>
      <c r="K149" s="917"/>
      <c r="L149" s="452"/>
      <c r="M149" s="317"/>
      <c r="S149" s="28"/>
      <c r="V149" s="148"/>
      <c r="W149" s="148"/>
      <c r="X149" s="148"/>
      <c r="Y149" s="148"/>
      <c r="Z149" s="148"/>
      <c r="AA149" s="148"/>
      <c r="AB149" s="148"/>
      <c r="AC149" s="148"/>
      <c r="AD149" s="148"/>
    </row>
    <row r="150" spans="2:30" ht="13.15" x14ac:dyDescent="0.4">
      <c r="B150" s="877"/>
      <c r="C150" s="478"/>
      <c r="D150" s="492"/>
      <c r="E150" s="492"/>
      <c r="F150" s="688"/>
      <c r="G150" s="688"/>
      <c r="H150" s="688"/>
      <c r="I150" s="689"/>
      <c r="J150" s="686"/>
      <c r="K150" s="917"/>
      <c r="L150" s="452"/>
      <c r="M150" s="284"/>
      <c r="N150" s="297"/>
    </row>
    <row r="151" spans="2:30" ht="13.15" x14ac:dyDescent="0.4">
      <c r="B151" s="477" t="s">
        <v>451</v>
      </c>
      <c r="C151" s="478"/>
      <c r="D151" s="492"/>
      <c r="E151" s="492"/>
      <c r="F151" s="628"/>
      <c r="G151" s="628"/>
      <c r="H151" s="628"/>
      <c r="I151" s="652"/>
      <c r="J151" s="452"/>
      <c r="K151" s="597"/>
      <c r="L151" s="452"/>
      <c r="M151" s="284"/>
      <c r="N151" s="297"/>
    </row>
    <row r="152" spans="2:30" ht="13.15" x14ac:dyDescent="0.4">
      <c r="B152" s="483" t="s">
        <v>515</v>
      </c>
      <c r="C152" s="478"/>
      <c r="D152" s="492">
        <v>45</v>
      </c>
      <c r="E152" s="492">
        <v>100</v>
      </c>
      <c r="F152" s="688">
        <v>107</v>
      </c>
      <c r="G152" s="688">
        <v>80</v>
      </c>
      <c r="H152" s="688">
        <v>80</v>
      </c>
      <c r="I152" s="689">
        <v>80</v>
      </c>
      <c r="J152" s="630">
        <v>0</v>
      </c>
      <c r="K152" s="597"/>
      <c r="L152" s="452"/>
      <c r="M152" s="284"/>
      <c r="N152" s="297"/>
    </row>
    <row r="153" spans="2:30" ht="13.15" x14ac:dyDescent="0.4">
      <c r="B153" s="877" t="s">
        <v>746</v>
      </c>
      <c r="C153" s="478"/>
      <c r="D153" s="492">
        <v>45</v>
      </c>
      <c r="E153" s="492">
        <v>100</v>
      </c>
      <c r="F153" s="688">
        <v>679</v>
      </c>
      <c r="G153" s="688">
        <v>679</v>
      </c>
      <c r="H153" s="688">
        <v>679</v>
      </c>
      <c r="I153" s="689">
        <v>679</v>
      </c>
      <c r="J153" s="630">
        <v>800</v>
      </c>
      <c r="K153" s="597"/>
      <c r="L153" s="452"/>
      <c r="M153" s="284"/>
      <c r="N153" s="297"/>
    </row>
    <row r="154" spans="2:30" ht="13.15" x14ac:dyDescent="0.4">
      <c r="B154" s="877" t="s">
        <v>1081</v>
      </c>
      <c r="C154" s="478"/>
      <c r="D154" s="492">
        <v>45</v>
      </c>
      <c r="E154" s="492">
        <v>100</v>
      </c>
      <c r="F154" s="688">
        <v>335</v>
      </c>
      <c r="G154" s="688">
        <v>335</v>
      </c>
      <c r="H154" s="688">
        <v>335</v>
      </c>
      <c r="I154" s="689">
        <v>335</v>
      </c>
      <c r="J154" s="630"/>
      <c r="K154" s="597"/>
      <c r="L154" s="452" t="s">
        <v>71</v>
      </c>
      <c r="M154" s="284"/>
      <c r="N154" s="297"/>
    </row>
    <row r="155" spans="2:30" ht="13.15" x14ac:dyDescent="0.4">
      <c r="B155" s="877" t="s">
        <v>747</v>
      </c>
      <c r="C155" s="478"/>
      <c r="D155" s="492">
        <v>45</v>
      </c>
      <c r="E155" s="492">
        <v>100</v>
      </c>
      <c r="F155" s="688">
        <v>150</v>
      </c>
      <c r="G155" s="688">
        <v>150</v>
      </c>
      <c r="H155" s="688">
        <v>150</v>
      </c>
      <c r="I155" s="689">
        <v>150</v>
      </c>
      <c r="J155" s="630">
        <v>0</v>
      </c>
      <c r="K155" s="597"/>
      <c r="L155" s="452" t="s">
        <v>71</v>
      </c>
      <c r="M155" s="284"/>
      <c r="N155" s="297"/>
      <c r="V155" s="488"/>
    </row>
    <row r="156" spans="2:30" ht="13.15" x14ac:dyDescent="0.4">
      <c r="B156" s="877" t="s">
        <v>645</v>
      </c>
      <c r="C156" s="478"/>
      <c r="D156" s="492">
        <v>45</v>
      </c>
      <c r="E156" s="492">
        <v>100</v>
      </c>
      <c r="F156" s="688">
        <v>0</v>
      </c>
      <c r="G156" s="688">
        <v>0</v>
      </c>
      <c r="H156" s="688">
        <v>0</v>
      </c>
      <c r="I156" s="689">
        <v>0</v>
      </c>
      <c r="J156" s="630">
        <v>0</v>
      </c>
      <c r="K156" s="597"/>
      <c r="L156" s="452"/>
      <c r="M156" s="284"/>
      <c r="N156" s="297"/>
    </row>
    <row r="157" spans="2:30" ht="26.25" x14ac:dyDescent="0.4">
      <c r="B157" s="877" t="s">
        <v>748</v>
      </c>
      <c r="C157" s="478"/>
      <c r="D157" s="492">
        <v>45</v>
      </c>
      <c r="E157" s="492">
        <v>100</v>
      </c>
      <c r="F157" s="688">
        <v>300</v>
      </c>
      <c r="G157" s="688">
        <v>300</v>
      </c>
      <c r="H157" s="688">
        <v>300</v>
      </c>
      <c r="I157" s="689"/>
      <c r="J157" s="750">
        <f>26815+7707+800+3049+2827+2570</f>
        <v>43768</v>
      </c>
      <c r="K157" s="597"/>
      <c r="L157" s="452"/>
      <c r="M157" s="284"/>
      <c r="N157" s="297"/>
      <c r="V157" s="488"/>
      <c r="W157" s="488"/>
      <c r="X157" s="488"/>
      <c r="Y157" s="488"/>
      <c r="Z157" s="488"/>
      <c r="AA157" s="488"/>
      <c r="AB157" s="488"/>
      <c r="AC157" s="488"/>
      <c r="AD157" s="488"/>
    </row>
    <row r="158" spans="2:30" ht="12" customHeight="1" x14ac:dyDescent="0.4">
      <c r="B158" s="877"/>
      <c r="C158" s="478"/>
      <c r="D158" s="492"/>
      <c r="E158" s="492"/>
      <c r="F158" s="481"/>
      <c r="G158" s="481"/>
      <c r="H158" s="481"/>
      <c r="I158" s="685"/>
      <c r="J158" s="630"/>
      <c r="K158" s="597"/>
      <c r="L158" s="780"/>
      <c r="M158" s="284"/>
      <c r="N158" s="297"/>
      <c r="V158" s="488"/>
      <c r="W158" s="488"/>
      <c r="X158" s="488"/>
      <c r="Y158" s="488"/>
      <c r="Z158" s="488"/>
      <c r="AA158" s="488"/>
      <c r="AB158" s="488"/>
      <c r="AC158" s="488"/>
      <c r="AD158" s="488"/>
    </row>
    <row r="159" spans="2:30" s="456" customFormat="1" ht="13.15" x14ac:dyDescent="0.4">
      <c r="B159" s="877"/>
      <c r="C159" s="478"/>
      <c r="D159" s="492"/>
      <c r="E159" s="492"/>
      <c r="F159" s="481"/>
      <c r="G159" s="481"/>
      <c r="H159" s="481"/>
      <c r="I159" s="685"/>
      <c r="J159" s="630"/>
      <c r="K159" s="597"/>
      <c r="L159" s="780"/>
      <c r="M159" s="284"/>
      <c r="N159" s="297"/>
      <c r="P159" s="218"/>
      <c r="Q159" s="486"/>
      <c r="R159" s="486"/>
      <c r="S159" s="486"/>
    </row>
    <row r="160" spans="2:30" s="456" customFormat="1" ht="13.15" x14ac:dyDescent="0.4">
      <c r="B160" s="877"/>
      <c r="C160" s="478"/>
      <c r="D160" s="492"/>
      <c r="E160" s="492"/>
      <c r="F160" s="688"/>
      <c r="G160" s="688"/>
      <c r="H160" s="688"/>
      <c r="I160" s="689"/>
      <c r="J160" s="686"/>
      <c r="K160" s="917"/>
      <c r="L160" s="452"/>
      <c r="M160" s="284"/>
      <c r="N160" s="297"/>
      <c r="P160" s="486"/>
      <c r="Q160" s="486"/>
      <c r="R160" s="486"/>
      <c r="S160" s="486"/>
    </row>
    <row r="161" spans="2:22" s="456" customFormat="1" ht="13.15" x14ac:dyDescent="0.4">
      <c r="B161" s="477" t="s">
        <v>54</v>
      </c>
      <c r="C161" s="478"/>
      <c r="D161" s="492"/>
      <c r="E161" s="492"/>
      <c r="F161" s="629"/>
      <c r="G161" s="629"/>
      <c r="H161" s="629"/>
      <c r="I161" s="652"/>
      <c r="J161" s="452"/>
      <c r="K161" s="597"/>
      <c r="L161" s="452"/>
      <c r="M161" s="284"/>
      <c r="N161" s="465"/>
      <c r="O161" s="487"/>
      <c r="P161" s="486"/>
      <c r="Q161" s="486"/>
      <c r="R161" s="486"/>
      <c r="S161" s="486"/>
    </row>
    <row r="162" spans="2:22" s="456" customFormat="1" ht="13.15" x14ac:dyDescent="0.4">
      <c r="B162" s="483" t="s">
        <v>516</v>
      </c>
      <c r="C162" s="480"/>
      <c r="D162" s="492">
        <v>46</v>
      </c>
      <c r="E162" s="492">
        <v>100</v>
      </c>
      <c r="F162" s="479">
        <v>1000</v>
      </c>
      <c r="G162" s="479">
        <v>1000</v>
      </c>
      <c r="H162" s="479">
        <v>1000</v>
      </c>
      <c r="I162" s="652">
        <v>1000</v>
      </c>
      <c r="J162" s="630">
        <v>2076</v>
      </c>
      <c r="K162" s="598"/>
      <c r="L162" s="452"/>
      <c r="M162" s="284"/>
      <c r="N162" s="465"/>
      <c r="O162" s="487"/>
      <c r="P162" s="486"/>
      <c r="Q162" s="486"/>
      <c r="R162" s="486"/>
      <c r="S162" s="486"/>
    </row>
    <row r="163" spans="2:22" s="456" customFormat="1" ht="14.45" customHeight="1" x14ac:dyDescent="0.4">
      <c r="B163" s="483" t="s">
        <v>517</v>
      </c>
      <c r="C163" s="480"/>
      <c r="D163" s="492">
        <v>46</v>
      </c>
      <c r="E163" s="492">
        <v>100</v>
      </c>
      <c r="F163" s="479">
        <v>200</v>
      </c>
      <c r="G163" s="479">
        <v>200</v>
      </c>
      <c r="H163" s="479">
        <v>200</v>
      </c>
      <c r="I163" s="652">
        <v>200</v>
      </c>
      <c r="J163" s="630">
        <v>0</v>
      </c>
      <c r="K163" s="598"/>
      <c r="L163" s="452"/>
      <c r="M163" s="284"/>
      <c r="N163" s="465"/>
      <c r="O163" s="487"/>
      <c r="P163" s="486"/>
      <c r="Q163" s="486"/>
      <c r="R163" s="486"/>
      <c r="S163" s="486"/>
    </row>
    <row r="164" spans="2:22" s="456" customFormat="1" ht="13.15" x14ac:dyDescent="0.4">
      <c r="B164" s="477"/>
      <c r="C164" s="478"/>
      <c r="D164" s="492"/>
      <c r="E164" s="492"/>
      <c r="F164" s="629"/>
      <c r="G164" s="629"/>
      <c r="H164" s="629"/>
      <c r="I164" s="652"/>
      <c r="J164" s="630"/>
      <c r="K164" s="917"/>
      <c r="L164" s="780"/>
      <c r="M164" s="485"/>
      <c r="N164" s="465"/>
      <c r="O164" s="487"/>
      <c r="P164" s="486"/>
      <c r="Q164" s="486"/>
      <c r="R164" s="486"/>
      <c r="S164" s="486"/>
    </row>
    <row r="165" spans="2:22" s="456" customFormat="1" ht="13.15" x14ac:dyDescent="0.4">
      <c r="B165" s="792" t="s">
        <v>435</v>
      </c>
      <c r="C165" s="478"/>
      <c r="D165" s="492"/>
      <c r="E165" s="492"/>
      <c r="F165" s="481"/>
      <c r="G165" s="481"/>
      <c r="H165" s="481"/>
      <c r="I165" s="685"/>
      <c r="J165" s="630"/>
      <c r="K165" s="597"/>
      <c r="L165" s="780"/>
    </row>
    <row r="166" spans="2:22" s="456" customFormat="1" ht="13.15" x14ac:dyDescent="0.4">
      <c r="B166" s="877" t="s">
        <v>539</v>
      </c>
      <c r="C166" s="478"/>
      <c r="D166" s="492">
        <v>50</v>
      </c>
      <c r="E166" s="492">
        <v>100</v>
      </c>
      <c r="F166" s="481">
        <v>1000</v>
      </c>
      <c r="G166" s="481">
        <v>1000</v>
      </c>
      <c r="H166" s="481">
        <v>1000</v>
      </c>
      <c r="I166" s="685">
        <v>1000</v>
      </c>
      <c r="J166" s="630">
        <v>16785</v>
      </c>
      <c r="K166" s="597"/>
      <c r="L166" s="780"/>
    </row>
    <row r="167" spans="2:22" s="456" customFormat="1" ht="13.15" x14ac:dyDescent="0.4">
      <c r="B167" s="877" t="s">
        <v>570</v>
      </c>
      <c r="C167" s="480"/>
      <c r="D167" s="492">
        <v>50</v>
      </c>
      <c r="E167" s="492">
        <v>100</v>
      </c>
      <c r="F167" s="479">
        <v>550</v>
      </c>
      <c r="G167" s="481">
        <v>1100</v>
      </c>
      <c r="H167" s="481">
        <v>1100</v>
      </c>
      <c r="I167" s="685">
        <v>1100</v>
      </c>
      <c r="J167" s="630">
        <v>49743</v>
      </c>
      <c r="K167" s="597"/>
      <c r="L167" s="452"/>
    </row>
    <row r="168" spans="2:22" s="456" customFormat="1" ht="13.15" x14ac:dyDescent="0.4">
      <c r="B168" s="877" t="s">
        <v>570</v>
      </c>
      <c r="C168" s="480"/>
      <c r="D168" s="492">
        <v>50</v>
      </c>
      <c r="E168" s="492">
        <v>100</v>
      </c>
      <c r="F168" s="479"/>
      <c r="G168" s="481">
        <v>2500</v>
      </c>
      <c r="H168" s="481">
        <v>2500</v>
      </c>
      <c r="I168" s="685">
        <v>2500</v>
      </c>
      <c r="J168" s="630">
        <v>49743</v>
      </c>
      <c r="K168" s="597"/>
      <c r="L168" s="452"/>
    </row>
    <row r="169" spans="2:22" s="456" customFormat="1" ht="26.25" x14ac:dyDescent="0.4">
      <c r="B169" s="922" t="s">
        <v>749</v>
      </c>
      <c r="C169" s="480"/>
      <c r="D169" s="492">
        <v>50</v>
      </c>
      <c r="E169" s="492">
        <v>100</v>
      </c>
      <c r="F169" s="479">
        <v>1000</v>
      </c>
      <c r="G169" s="481">
        <v>1000</v>
      </c>
      <c r="H169" s="481"/>
      <c r="I169" s="685"/>
      <c r="J169" s="630">
        <v>49743</v>
      </c>
      <c r="K169" s="597"/>
      <c r="L169" s="452"/>
    </row>
    <row r="170" spans="2:22" s="456" customFormat="1" ht="26.25" x14ac:dyDescent="0.4">
      <c r="B170" s="922" t="s">
        <v>750</v>
      </c>
      <c r="C170" s="480"/>
      <c r="D170" s="492">
        <v>50</v>
      </c>
      <c r="E170" s="492">
        <v>100</v>
      </c>
      <c r="F170" s="479"/>
      <c r="G170" s="481">
        <v>3300</v>
      </c>
      <c r="H170" s="481">
        <v>3300</v>
      </c>
      <c r="I170" s="685">
        <v>3300</v>
      </c>
      <c r="J170" s="630">
        <v>49743</v>
      </c>
      <c r="K170" s="597"/>
      <c r="L170" s="452"/>
      <c r="V170" s="488"/>
    </row>
    <row r="171" spans="2:22" s="456" customFormat="1" ht="39.4" x14ac:dyDescent="0.4">
      <c r="B171" s="922" t="s">
        <v>751</v>
      </c>
      <c r="C171" s="480"/>
      <c r="D171" s="492">
        <v>50</v>
      </c>
      <c r="E171" s="492">
        <v>100</v>
      </c>
      <c r="F171" s="479">
        <v>750</v>
      </c>
      <c r="G171" s="481">
        <v>1500</v>
      </c>
      <c r="H171" s="481">
        <v>1500</v>
      </c>
      <c r="I171" s="685">
        <v>1500</v>
      </c>
      <c r="J171" s="630">
        <v>49743</v>
      </c>
      <c r="K171" s="597"/>
      <c r="L171" s="452"/>
      <c r="V171" s="488"/>
    </row>
    <row r="172" spans="2:22" s="456" customFormat="1" ht="13.15" x14ac:dyDescent="0.4">
      <c r="B172" s="877" t="s">
        <v>752</v>
      </c>
      <c r="C172" s="798"/>
      <c r="D172" s="484">
        <v>50</v>
      </c>
      <c r="E172" s="484">
        <v>100</v>
      </c>
      <c r="F172" s="481">
        <v>350</v>
      </c>
      <c r="G172" s="481">
        <v>700</v>
      </c>
      <c r="H172" s="481">
        <v>0</v>
      </c>
      <c r="I172" s="685">
        <v>0</v>
      </c>
      <c r="J172" s="750">
        <v>0</v>
      </c>
      <c r="K172" s="598"/>
      <c r="L172" s="452"/>
    </row>
    <row r="173" spans="2:22" s="456" customFormat="1" ht="13.15" x14ac:dyDescent="0.4">
      <c r="B173" s="877"/>
      <c r="C173" s="798"/>
      <c r="D173" s="484"/>
      <c r="E173" s="484"/>
      <c r="F173" s="481"/>
      <c r="G173" s="481"/>
      <c r="H173" s="481"/>
      <c r="I173" s="685"/>
      <c r="J173" s="750"/>
      <c r="K173" s="598"/>
      <c r="L173" s="452"/>
    </row>
    <row r="174" spans="2:22" s="456" customFormat="1" ht="13.15" x14ac:dyDescent="0.4">
      <c r="B174" s="877"/>
      <c r="C174" s="798"/>
      <c r="D174" s="484"/>
      <c r="E174" s="484"/>
      <c r="F174" s="481"/>
      <c r="G174" s="481"/>
      <c r="H174" s="481"/>
      <c r="I174" s="685"/>
      <c r="J174" s="750"/>
      <c r="K174" s="598"/>
      <c r="L174" s="452"/>
    </row>
    <row r="175" spans="2:22" s="488" customFormat="1" ht="13.15" x14ac:dyDescent="0.4">
      <c r="B175" s="878"/>
      <c r="C175" s="848"/>
      <c r="D175" s="849"/>
      <c r="E175" s="849"/>
      <c r="F175" s="850"/>
      <c r="G175" s="850"/>
      <c r="H175" s="850"/>
      <c r="I175" s="850"/>
      <c r="J175" s="851"/>
      <c r="K175" s="852"/>
      <c r="L175" s="923"/>
    </row>
    <row r="176" spans="2:22" s="456" customFormat="1" ht="13.15" x14ac:dyDescent="0.4">
      <c r="B176" s="877"/>
      <c r="C176" s="798"/>
      <c r="D176" s="484"/>
      <c r="E176" s="484"/>
      <c r="F176" s="481"/>
      <c r="G176" s="481"/>
      <c r="H176" s="481"/>
      <c r="I176" s="685"/>
      <c r="J176" s="750"/>
      <c r="K176" s="598"/>
      <c r="L176" s="452"/>
    </row>
    <row r="177" spans="2:31" s="456" customFormat="1" ht="13.15" x14ac:dyDescent="0.4">
      <c r="B177" s="877"/>
      <c r="C177" s="798"/>
      <c r="D177" s="484"/>
      <c r="E177" s="484"/>
      <c r="F177" s="481"/>
      <c r="G177" s="481"/>
      <c r="H177" s="481"/>
      <c r="I177" s="685"/>
      <c r="J177" s="750"/>
      <c r="K177" s="598"/>
      <c r="L177" s="452"/>
    </row>
    <row r="178" spans="2:31" s="456" customFormat="1" ht="13.15" x14ac:dyDescent="0.4">
      <c r="B178" s="792" t="s">
        <v>966</v>
      </c>
      <c r="C178" s="798"/>
      <c r="D178" s="484"/>
      <c r="E178" s="484"/>
      <c r="F178" s="481"/>
      <c r="G178" s="481"/>
      <c r="H178" s="481"/>
      <c r="I178" s="685"/>
      <c r="J178" s="750"/>
      <c r="K178" s="598"/>
      <c r="L178" s="452"/>
    </row>
    <row r="179" spans="2:31" ht="13.15" x14ac:dyDescent="0.4">
      <c r="B179" s="814" t="s">
        <v>816</v>
      </c>
      <c r="C179" s="819"/>
      <c r="D179" s="820">
        <v>32</v>
      </c>
      <c r="E179" s="820">
        <v>100</v>
      </c>
      <c r="F179" s="736">
        <v>10741</v>
      </c>
      <c r="G179" s="736">
        <v>20891</v>
      </c>
      <c r="H179" s="736">
        <v>19953</v>
      </c>
      <c r="I179" s="737">
        <v>13302</v>
      </c>
      <c r="J179" s="749"/>
      <c r="K179" s="821"/>
      <c r="L179" s="924" t="s">
        <v>71</v>
      </c>
      <c r="P179" s="28"/>
      <c r="Q179" s="28"/>
      <c r="R179" s="28"/>
      <c r="S179" s="28"/>
      <c r="V179" s="456"/>
    </row>
    <row r="180" spans="2:31" s="456" customFormat="1" ht="13.15" x14ac:dyDescent="0.4">
      <c r="B180" s="814" t="s">
        <v>817</v>
      </c>
      <c r="C180" s="798"/>
      <c r="D180" s="484">
        <v>41</v>
      </c>
      <c r="E180" s="484">
        <v>100</v>
      </c>
      <c r="F180" s="736">
        <v>800</v>
      </c>
      <c r="G180" s="736">
        <v>3473</v>
      </c>
      <c r="H180" s="736">
        <v>-192</v>
      </c>
      <c r="I180" s="737">
        <v>-6530</v>
      </c>
      <c r="J180" s="925"/>
      <c r="K180" s="924"/>
      <c r="L180" s="452" t="s">
        <v>71</v>
      </c>
    </row>
    <row r="181" spans="2:31" s="456" customFormat="1" ht="13.15" x14ac:dyDescent="0.4">
      <c r="B181" s="814" t="s">
        <v>818</v>
      </c>
      <c r="C181" s="819"/>
      <c r="D181" s="820">
        <v>42</v>
      </c>
      <c r="E181" s="820">
        <v>100</v>
      </c>
      <c r="F181" s="736">
        <v>8099</v>
      </c>
      <c r="G181" s="736">
        <v>10599</v>
      </c>
      <c r="H181" s="736">
        <v>10566</v>
      </c>
      <c r="I181" s="737">
        <v>7917</v>
      </c>
      <c r="J181" s="749"/>
      <c r="K181" s="821"/>
      <c r="L181" s="924" t="s">
        <v>71</v>
      </c>
    </row>
    <row r="182" spans="2:31" s="456" customFormat="1" ht="13.15" x14ac:dyDescent="0.4">
      <c r="B182" s="814" t="s">
        <v>861</v>
      </c>
      <c r="C182" s="819"/>
      <c r="D182" s="820">
        <v>44</v>
      </c>
      <c r="E182" s="820">
        <v>100</v>
      </c>
      <c r="F182" s="736">
        <v>12105</v>
      </c>
      <c r="G182" s="736">
        <v>17357</v>
      </c>
      <c r="H182" s="736">
        <v>19284</v>
      </c>
      <c r="I182" s="737">
        <v>14173</v>
      </c>
      <c r="J182" s="749"/>
      <c r="K182" s="926"/>
      <c r="L182" s="924" t="s">
        <v>71</v>
      </c>
      <c r="AE182" s="777"/>
    </row>
    <row r="183" spans="2:31" s="456" customFormat="1" ht="13.15" x14ac:dyDescent="0.4">
      <c r="B183" s="814"/>
      <c r="C183" s="819"/>
      <c r="D183" s="820"/>
      <c r="E183" s="820"/>
      <c r="F183" s="736"/>
      <c r="G183" s="736"/>
      <c r="H183" s="736"/>
      <c r="I183" s="737"/>
      <c r="J183" s="749"/>
      <c r="K183" s="926"/>
      <c r="L183" s="924"/>
      <c r="AE183" s="777"/>
    </row>
    <row r="184" spans="2:31" s="456" customFormat="1" ht="26.25" x14ac:dyDescent="0.4">
      <c r="B184" s="792" t="s">
        <v>967</v>
      </c>
      <c r="C184" s="819"/>
      <c r="D184" s="820"/>
      <c r="E184" s="820"/>
      <c r="F184" s="736"/>
      <c r="G184" s="736"/>
      <c r="H184" s="736"/>
      <c r="I184" s="737"/>
      <c r="J184" s="749"/>
      <c r="K184" s="926"/>
      <c r="L184" s="924"/>
      <c r="AE184" s="777"/>
    </row>
    <row r="185" spans="2:31" s="456" customFormat="1" ht="13.15" x14ac:dyDescent="0.4">
      <c r="B185" s="814" t="s">
        <v>816</v>
      </c>
      <c r="C185" s="819"/>
      <c r="D185" s="820">
        <v>32</v>
      </c>
      <c r="E185" s="820">
        <v>100</v>
      </c>
      <c r="F185" s="736"/>
      <c r="G185" s="736"/>
      <c r="H185" s="736">
        <v>6651</v>
      </c>
      <c r="I185" s="737">
        <v>13302</v>
      </c>
      <c r="J185" s="749"/>
      <c r="K185" s="926"/>
      <c r="L185" s="924"/>
      <c r="AE185" s="777"/>
    </row>
    <row r="186" spans="2:31" s="456" customFormat="1" ht="13.15" x14ac:dyDescent="0.4">
      <c r="B186" s="814" t="s">
        <v>817</v>
      </c>
      <c r="C186" s="819"/>
      <c r="D186" s="820">
        <v>41</v>
      </c>
      <c r="E186" s="820">
        <v>100</v>
      </c>
      <c r="F186" s="736"/>
      <c r="G186" s="736"/>
      <c r="H186" s="736">
        <v>6337</v>
      </c>
      <c r="I186" s="737">
        <v>12675</v>
      </c>
      <c r="J186" s="749"/>
      <c r="K186" s="926"/>
      <c r="L186" s="924"/>
      <c r="AE186" s="777"/>
    </row>
    <row r="187" spans="2:31" s="456" customFormat="1" ht="13.15" x14ac:dyDescent="0.4">
      <c r="B187" s="814" t="s">
        <v>818</v>
      </c>
      <c r="C187" s="819"/>
      <c r="D187" s="820">
        <v>42</v>
      </c>
      <c r="E187" s="820">
        <v>100</v>
      </c>
      <c r="F187" s="736"/>
      <c r="G187" s="736"/>
      <c r="H187" s="736">
        <v>2650</v>
      </c>
      <c r="I187" s="737">
        <v>5299</v>
      </c>
      <c r="J187" s="749"/>
      <c r="K187" s="926"/>
      <c r="L187" s="924"/>
      <c r="AE187" s="777"/>
    </row>
    <row r="188" spans="2:31" s="456" customFormat="1" ht="13.15" x14ac:dyDescent="0.4">
      <c r="B188" s="814" t="s">
        <v>861</v>
      </c>
      <c r="C188" s="819"/>
      <c r="D188" s="820">
        <v>44</v>
      </c>
      <c r="E188" s="820">
        <v>100</v>
      </c>
      <c r="F188" s="736"/>
      <c r="G188" s="736"/>
      <c r="H188" s="736">
        <v>6428</v>
      </c>
      <c r="I188" s="737">
        <v>14172</v>
      </c>
      <c r="J188" s="749"/>
      <c r="K188" s="926"/>
      <c r="L188" s="924"/>
      <c r="AE188" s="777"/>
    </row>
    <row r="189" spans="2:31" ht="13.5" thickBot="1" x14ac:dyDescent="0.45">
      <c r="B189" s="489"/>
      <c r="C189" s="490"/>
      <c r="D189" s="572"/>
      <c r="E189" s="572"/>
      <c r="F189" s="572"/>
      <c r="G189" s="572"/>
      <c r="H189" s="572"/>
      <c r="I189" s="683"/>
      <c r="J189" s="491"/>
      <c r="K189" s="927"/>
      <c r="L189" s="781"/>
    </row>
    <row r="192" spans="2:31" x14ac:dyDescent="0.35">
      <c r="H192" s="147"/>
      <c r="I192" s="147"/>
    </row>
    <row r="193" spans="8:9" x14ac:dyDescent="0.35">
      <c r="H193" s="147"/>
      <c r="I193" s="147"/>
    </row>
    <row r="194" spans="8:9" x14ac:dyDescent="0.35">
      <c r="H194" s="147"/>
      <c r="I194" s="147"/>
    </row>
    <row r="195" spans="8:9" x14ac:dyDescent="0.35">
      <c r="H195" s="147"/>
      <c r="I195" s="147"/>
    </row>
    <row r="199" spans="8:9" x14ac:dyDescent="0.35">
      <c r="H199" s="147"/>
      <c r="I199" s="147"/>
    </row>
    <row r="200" spans="8:9" x14ac:dyDescent="0.35">
      <c r="H200" s="147"/>
      <c r="I200" s="147"/>
    </row>
    <row r="201" spans="8:9" x14ac:dyDescent="0.35">
      <c r="H201" s="147"/>
      <c r="I201" s="147"/>
    </row>
    <row r="202" spans="8:9" x14ac:dyDescent="0.35">
      <c r="H202" s="147"/>
      <c r="I202" s="147"/>
    </row>
  </sheetData>
  <autoFilter ref="L2:L189" xr:uid="{00000000-0009-0000-0000-000005000000}"/>
  <mergeCells count="2">
    <mergeCell ref="B2:I2"/>
    <mergeCell ref="B8:C8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15" orientation="landscape" r:id="rId1"/>
  <headerFooter>
    <oddFooter>&amp;L&amp;D&amp;T&amp;CSide &amp;P af &amp;N&amp;R&amp;F</oddFooter>
  </headerFooter>
  <rowBreaks count="6" manualBreakCount="6">
    <brk id="33" min="1" max="11" man="1"/>
    <brk id="66" min="1" max="11" man="1"/>
    <brk id="100" min="1" max="11" man="1"/>
    <brk id="126" min="1" max="11" man="1"/>
    <brk id="150" min="1" max="11" man="1"/>
    <brk id="174" min="1" max="11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HU336"/>
  <sheetViews>
    <sheetView topLeftCell="A316" zoomScale="90" zoomScaleNormal="90" zoomScaleSheetLayoutView="84" workbookViewId="0">
      <selection activeCell="K18" sqref="K18"/>
    </sheetView>
  </sheetViews>
  <sheetFormatPr defaultColWidth="8.53125" defaultRowHeight="13.15" x14ac:dyDescent="0.4"/>
  <cols>
    <col min="1" max="1" width="15.46484375" style="300" customWidth="1"/>
    <col min="2" max="2" width="58.46484375" style="300" customWidth="1"/>
    <col min="3" max="3" width="5.53125" style="527" customWidth="1"/>
    <col min="4" max="4" width="11.53125" style="300" customWidth="1"/>
    <col min="5" max="5" width="11.53125" customWidth="1"/>
    <col min="6" max="6" width="11.53125" style="300" customWidth="1"/>
    <col min="7" max="7" width="11.53125" style="300" bestFit="1" customWidth="1"/>
    <col min="8" max="8" width="5.53125" style="499" customWidth="1"/>
    <col min="9" max="9" width="12.53125" style="517" customWidth="1"/>
    <col min="10" max="10" width="15.53125" style="136" hidden="1" customWidth="1"/>
    <col min="11" max="11" width="1.53125" customWidth="1"/>
    <col min="12" max="12" width="2.53125" customWidth="1"/>
    <col min="13" max="13" width="28.53125" customWidth="1"/>
    <col min="14" max="14" width="9.46484375" style="218" customWidth="1"/>
    <col min="15" max="15" width="12.46484375" customWidth="1"/>
    <col min="16" max="16" width="9.1328125" bestFit="1" customWidth="1"/>
  </cols>
  <sheetData>
    <row r="2" spans="1:229" ht="18.399999999999999" hidden="1" x14ac:dyDescent="0.6">
      <c r="A2" s="980" t="s">
        <v>198</v>
      </c>
      <c r="B2" s="981"/>
      <c r="C2" s="982"/>
      <c r="D2" s="982"/>
      <c r="E2" s="982"/>
      <c r="F2" s="982"/>
      <c r="G2" s="982"/>
    </row>
    <row r="3" spans="1:229" hidden="1" x14ac:dyDescent="0.4"/>
    <row r="4" spans="1:229" ht="15.4" hidden="1" thickBot="1" x14ac:dyDescent="0.45">
      <c r="A4" s="298" t="s">
        <v>61</v>
      </c>
      <c r="B4" s="298"/>
      <c r="C4" s="528"/>
      <c r="D4" s="298"/>
      <c r="E4" s="298"/>
      <c r="F4" s="298"/>
      <c r="G4" s="298"/>
      <c r="H4" s="500"/>
      <c r="I4" s="518"/>
      <c r="J4" s="154"/>
      <c r="K4" s="29"/>
      <c r="L4" s="29"/>
      <c r="M4" s="29"/>
      <c r="N4" s="347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</row>
    <row r="5" spans="1:229" ht="17.25" hidden="1" x14ac:dyDescent="0.45">
      <c r="A5" s="299"/>
      <c r="B5" s="299"/>
      <c r="E5" s="300"/>
    </row>
    <row r="6" spans="1:229" ht="17.649999999999999" thickBot="1" x14ac:dyDescent="0.5">
      <c r="A6" s="299" t="s">
        <v>23</v>
      </c>
      <c r="B6" s="299"/>
      <c r="E6" s="300"/>
      <c r="G6" s="28"/>
      <c r="I6" s="519"/>
      <c r="J6" s="149"/>
    </row>
    <row r="7" spans="1:229" ht="13.5" hidden="1" thickBot="1" x14ac:dyDescent="0.45">
      <c r="A7" s="979">
        <f ca="1">NOW()</f>
        <v>46283.024673842592</v>
      </c>
      <c r="B7" s="979"/>
      <c r="C7" s="979"/>
      <c r="E7" s="300"/>
      <c r="I7" s="519"/>
      <c r="J7" s="149"/>
    </row>
    <row r="8" spans="1:229" ht="13.5" hidden="1" thickBot="1" x14ac:dyDescent="0.45">
      <c r="A8" s="28"/>
      <c r="B8" s="28"/>
      <c r="E8" s="300"/>
      <c r="I8" s="519"/>
      <c r="J8" s="149"/>
    </row>
    <row r="9" spans="1:229" ht="13.5" thickBot="1" x14ac:dyDescent="0.45">
      <c r="A9" s="375" t="s">
        <v>61</v>
      </c>
      <c r="B9" s="376"/>
      <c r="C9" s="529"/>
      <c r="D9" s="377"/>
      <c r="E9" s="377"/>
      <c r="F9" s="377"/>
      <c r="G9" s="378"/>
      <c r="I9" s="519"/>
      <c r="J9" s="149"/>
    </row>
    <row r="10" spans="1:229" ht="13.5" thickBot="1" x14ac:dyDescent="0.45">
      <c r="A10" s="302" t="s">
        <v>223</v>
      </c>
      <c r="B10" s="348"/>
      <c r="C10" s="530"/>
      <c r="D10" s="304">
        <f>+'Budgetforslag 2027-2030'!C3</f>
        <v>2027</v>
      </c>
      <c r="E10" s="304">
        <f>+D10+1</f>
        <v>2028</v>
      </c>
      <c r="F10" s="304">
        <f>+E10+1</f>
        <v>2029</v>
      </c>
      <c r="G10" s="379">
        <f>+F10+1</f>
        <v>2030</v>
      </c>
      <c r="H10" s="501"/>
      <c r="I10" s="520"/>
      <c r="J10" s="349"/>
    </row>
    <row r="11" spans="1:229" ht="15.4" thickBot="1" x14ac:dyDescent="0.45">
      <c r="A11" s="350" t="s">
        <v>327</v>
      </c>
      <c r="B11" s="351"/>
      <c r="C11" s="531"/>
      <c r="D11" s="307">
        <f>'Vedtaget budget i 2026'!C16*1000</f>
        <v>541546</v>
      </c>
      <c r="E11" s="307">
        <f>'Vedtaget budget i 2026'!D16*1000</f>
        <v>278807</v>
      </c>
      <c r="F11" s="307">
        <f>'Vedtaget budget i 2026'!E16*1000</f>
        <v>242382</v>
      </c>
      <c r="G11" s="373">
        <f>'Vedtaget budget i 2026'!F16*1000</f>
        <v>0</v>
      </c>
      <c r="I11" s="520"/>
      <c r="J11" s="349"/>
    </row>
    <row r="12" spans="1:229" x14ac:dyDescent="0.4">
      <c r="A12" s="312"/>
      <c r="B12" s="306"/>
      <c r="C12" s="530"/>
      <c r="D12" s="313"/>
      <c r="E12" s="313"/>
      <c r="F12" s="313"/>
      <c r="G12" s="374"/>
      <c r="I12" s="520"/>
      <c r="J12" s="349"/>
    </row>
    <row r="13" spans="1:229" ht="15.4" thickBot="1" x14ac:dyDescent="0.45">
      <c r="A13" s="352"/>
      <c r="B13" s="353"/>
      <c r="C13" s="532"/>
      <c r="D13" s="354"/>
      <c r="E13" s="354"/>
      <c r="F13" s="354"/>
      <c r="G13" s="380"/>
      <c r="I13" s="520"/>
      <c r="J13" s="349"/>
    </row>
    <row r="14" spans="1:229" ht="17.649999999999999" thickBot="1" x14ac:dyDescent="0.5">
      <c r="A14" s="355" t="s">
        <v>328</v>
      </c>
      <c r="B14" s="356"/>
      <c r="C14" s="533" t="s">
        <v>77</v>
      </c>
      <c r="D14" s="357">
        <f>SUMIFS(D20:D115,$I20:$I115,"x",$C20:$C115,"A")</f>
        <v>164998.644</v>
      </c>
      <c r="E14" s="357">
        <f>SUMIFS(E20:E115,$I20:$I115,"x",$C20:$C115,"A")</f>
        <v>636026.22499999998</v>
      </c>
      <c r="F14" s="357">
        <f>SUMIFS(F20:F115,$I20:$I115,"x",$C20:$C115,"A")</f>
        <v>259049.08000000002</v>
      </c>
      <c r="G14" s="381">
        <f>SUMIFS(G20:G115,$I20:$I115,"x",$C20:$C115,"A")</f>
        <v>198834.799</v>
      </c>
      <c r="I14" s="521" t="s">
        <v>67</v>
      </c>
      <c r="J14" s="339" t="s">
        <v>73</v>
      </c>
      <c r="N14" s="28"/>
    </row>
    <row r="15" spans="1:229" ht="17.649999999999999" thickBot="1" x14ac:dyDescent="0.5">
      <c r="A15" s="355" t="s">
        <v>329</v>
      </c>
      <c r="B15" s="356"/>
      <c r="C15" s="533" t="s">
        <v>177</v>
      </c>
      <c r="D15" s="357">
        <f>SUMIFS(D20:D115,$I20:$I115,"x",$C20:$C115,"I")</f>
        <v>-10800</v>
      </c>
      <c r="E15" s="357">
        <f>SUMIFS(E20:E115,$I20:$I115,"x",$C20:$C115,"I")</f>
        <v>-3500</v>
      </c>
      <c r="F15" s="357">
        <f>SUMIFS(F20:F115,$I20:$I115,"x",$C20:$C115,"I")</f>
        <v>-10500</v>
      </c>
      <c r="G15" s="381">
        <f>SUMIFS(G20:G115,$I20:$I115,"x",$C20:$C115,"I")</f>
        <v>0</v>
      </c>
      <c r="I15" s="522" t="s">
        <v>66</v>
      </c>
      <c r="J15" s="359"/>
    </row>
    <row r="16" spans="1:229" ht="17.25" x14ac:dyDescent="0.45">
      <c r="A16" s="360"/>
      <c r="B16" s="360"/>
      <c r="C16" s="534"/>
      <c r="D16" s="354"/>
      <c r="E16" s="354" t="s">
        <v>182</v>
      </c>
      <c r="F16" s="354"/>
      <c r="G16" s="354"/>
      <c r="I16" s="520"/>
      <c r="J16" s="359"/>
    </row>
    <row r="17" spans="1:19" ht="17.25" x14ac:dyDescent="0.45">
      <c r="A17" s="361" t="s">
        <v>199</v>
      </c>
      <c r="B17" s="360"/>
      <c r="C17" s="534"/>
      <c r="D17" s="354"/>
      <c r="E17" s="354"/>
      <c r="F17" s="354"/>
      <c r="G17" s="354"/>
      <c r="I17" s="520"/>
      <c r="J17" s="359"/>
    </row>
    <row r="18" spans="1:19" ht="18" thickBot="1" x14ac:dyDescent="0.55000000000000004">
      <c r="A18" s="360"/>
      <c r="B18" s="457"/>
      <c r="C18" s="534"/>
      <c r="D18" s="354"/>
      <c r="E18" s="354"/>
      <c r="F18" s="354"/>
      <c r="G18" s="354"/>
      <c r="I18" s="332"/>
      <c r="J18" s="358" t="s">
        <v>74</v>
      </c>
    </row>
    <row r="19" spans="1:19" x14ac:dyDescent="0.4">
      <c r="A19" s="362" t="s">
        <v>75</v>
      </c>
      <c r="B19" s="363" t="s">
        <v>76</v>
      </c>
      <c r="C19" s="535" t="s">
        <v>83</v>
      </c>
      <c r="D19" s="363" t="s">
        <v>84</v>
      </c>
      <c r="E19" s="363" t="s">
        <v>85</v>
      </c>
      <c r="F19" s="363" t="s">
        <v>86</v>
      </c>
      <c r="G19" s="364" t="s">
        <v>87</v>
      </c>
      <c r="H19" s="502" t="s">
        <v>88</v>
      </c>
      <c r="I19" s="523" t="s">
        <v>89</v>
      </c>
      <c r="J19" s="365" t="s">
        <v>101</v>
      </c>
      <c r="K19" s="218" t="s">
        <v>102</v>
      </c>
      <c r="L19" s="218" t="s">
        <v>146</v>
      </c>
      <c r="M19" s="218" t="s">
        <v>173</v>
      </c>
      <c r="N19" s="218" t="s">
        <v>219</v>
      </c>
      <c r="O19" t="s">
        <v>220</v>
      </c>
      <c r="P19" t="s">
        <v>221</v>
      </c>
      <c r="Q19" t="s">
        <v>231</v>
      </c>
      <c r="R19" t="s">
        <v>317</v>
      </c>
      <c r="S19" t="s">
        <v>318</v>
      </c>
    </row>
    <row r="20" spans="1:19" ht="14.25" x14ac:dyDescent="0.45">
      <c r="A20" s="455"/>
      <c r="B20" s="475"/>
      <c r="C20" s="255"/>
      <c r="D20" s="256"/>
      <c r="E20" s="256"/>
      <c r="F20" s="256"/>
      <c r="G20" s="257"/>
      <c r="H20" s="498"/>
      <c r="I20" s="158"/>
      <c r="J20" s="225"/>
      <c r="K20" s="223"/>
      <c r="L20" s="223"/>
      <c r="M20" s="160"/>
      <c r="N20" s="160"/>
      <c r="O20" s="160"/>
      <c r="P20" s="160"/>
      <c r="Q20" s="544"/>
      <c r="R20" s="774"/>
      <c r="S20" s="774"/>
    </row>
    <row r="21" spans="1:19" ht="14.25" x14ac:dyDescent="0.45">
      <c r="A21" s="671" t="s">
        <v>248</v>
      </c>
      <c r="B21" s="672"/>
      <c r="C21" s="659"/>
      <c r="D21" s="673"/>
      <c r="E21" s="673"/>
      <c r="F21" s="673"/>
      <c r="G21" s="674"/>
      <c r="H21" s="968"/>
      <c r="I21" s="524"/>
      <c r="J21" s="159"/>
      <c r="K21" s="160"/>
      <c r="L21" s="160"/>
      <c r="M21" s="160"/>
      <c r="N21" s="544"/>
      <c r="O21" s="544"/>
      <c r="P21" s="544"/>
      <c r="Q21" s="544"/>
      <c r="R21" s="774"/>
      <c r="S21" s="774"/>
    </row>
    <row r="22" spans="1:19" ht="14.25" x14ac:dyDescent="0.45">
      <c r="A22" s="510" t="s">
        <v>203</v>
      </c>
      <c r="B22" s="368" t="s">
        <v>341</v>
      </c>
      <c r="C22" s="659" t="s">
        <v>77</v>
      </c>
      <c r="D22" s="657">
        <v>1516</v>
      </c>
      <c r="E22" s="657">
        <v>14153</v>
      </c>
      <c r="F22" s="657">
        <v>0</v>
      </c>
      <c r="G22" s="658">
        <v>0</v>
      </c>
      <c r="H22" s="933"/>
      <c r="I22" s="524"/>
      <c r="J22" s="159"/>
      <c r="K22" s="160"/>
      <c r="L22" s="160"/>
      <c r="M22" s="160"/>
      <c r="N22" s="160"/>
      <c r="O22" s="160"/>
      <c r="P22" s="160"/>
      <c r="Q22" s="544"/>
      <c r="R22" s="774"/>
      <c r="S22" s="774"/>
    </row>
    <row r="23" spans="1:19" ht="14.25" x14ac:dyDescent="0.45">
      <c r="A23" s="510" t="s">
        <v>203</v>
      </c>
      <c r="B23" s="368" t="s">
        <v>341</v>
      </c>
      <c r="C23" s="659" t="s">
        <v>77</v>
      </c>
      <c r="D23" s="657">
        <f>1516-1000</f>
        <v>516</v>
      </c>
      <c r="E23" s="657">
        <f>14153+1000</f>
        <v>15153</v>
      </c>
      <c r="F23" s="657">
        <v>0</v>
      </c>
      <c r="G23" s="658">
        <v>0</v>
      </c>
      <c r="H23" s="933"/>
      <c r="I23" s="524" t="s">
        <v>71</v>
      </c>
      <c r="J23" s="159"/>
      <c r="K23" s="160"/>
      <c r="L23" s="160"/>
      <c r="M23" s="160" t="s">
        <v>969</v>
      </c>
      <c r="N23" s="160"/>
      <c r="O23" s="544"/>
      <c r="P23" s="544"/>
      <c r="Q23" s="544"/>
      <c r="R23" s="544"/>
      <c r="S23" s="544"/>
    </row>
    <row r="24" spans="1:19" ht="14.25" x14ac:dyDescent="0.45">
      <c r="A24" s="510" t="s">
        <v>204</v>
      </c>
      <c r="B24" s="368" t="s">
        <v>205</v>
      </c>
      <c r="C24" s="659" t="s">
        <v>77</v>
      </c>
      <c r="D24" s="657">
        <v>885</v>
      </c>
      <c r="E24" s="657">
        <v>0</v>
      </c>
      <c r="F24" s="657">
        <v>0</v>
      </c>
      <c r="G24" s="658">
        <v>0</v>
      </c>
      <c r="H24" s="933"/>
      <c r="I24" s="524" t="s">
        <v>71</v>
      </c>
      <c r="J24" s="159"/>
      <c r="K24" s="160"/>
      <c r="L24" s="160"/>
      <c r="M24" s="160"/>
      <c r="N24" s="160"/>
      <c r="O24" s="160"/>
      <c r="P24" s="160"/>
      <c r="Q24" s="544"/>
      <c r="R24" s="774"/>
      <c r="S24" s="774"/>
    </row>
    <row r="25" spans="1:19" ht="14.25" x14ac:dyDescent="0.45">
      <c r="A25" s="510" t="s">
        <v>249</v>
      </c>
      <c r="B25" s="368" t="s">
        <v>298</v>
      </c>
      <c r="C25" s="659" t="s">
        <v>77</v>
      </c>
      <c r="D25" s="657">
        <v>1067</v>
      </c>
      <c r="E25" s="657">
        <v>0</v>
      </c>
      <c r="F25" s="657">
        <v>0</v>
      </c>
      <c r="G25" s="658">
        <v>0</v>
      </c>
      <c r="H25" s="933"/>
      <c r="I25" s="524" t="s">
        <v>71</v>
      </c>
      <c r="J25" s="159"/>
      <c r="K25" s="160"/>
      <c r="L25" s="160"/>
      <c r="M25" s="160"/>
      <c r="N25" s="544"/>
      <c r="O25" s="544"/>
      <c r="P25" s="544"/>
      <c r="Q25" s="544"/>
      <c r="R25" s="774"/>
      <c r="S25" s="774"/>
    </row>
    <row r="26" spans="1:19" ht="14.25" x14ac:dyDescent="0.45">
      <c r="A26" s="510" t="s">
        <v>249</v>
      </c>
      <c r="B26" s="368" t="s">
        <v>298</v>
      </c>
      <c r="C26" s="659" t="s">
        <v>177</v>
      </c>
      <c r="D26" s="657">
        <v>0</v>
      </c>
      <c r="E26" s="657">
        <v>0</v>
      </c>
      <c r="F26" s="657">
        <v>-10500</v>
      </c>
      <c r="G26" s="658">
        <v>0</v>
      </c>
      <c r="H26" s="933"/>
      <c r="I26" s="524" t="s">
        <v>71</v>
      </c>
      <c r="J26" s="159"/>
      <c r="K26" s="160"/>
      <c r="L26" s="160"/>
      <c r="M26" s="160"/>
      <c r="N26" s="160"/>
      <c r="O26" s="160"/>
      <c r="P26" s="160"/>
      <c r="Q26" s="544"/>
      <c r="R26" s="774"/>
      <c r="S26" s="774"/>
    </row>
    <row r="27" spans="1:19" ht="14.25" x14ac:dyDescent="0.45">
      <c r="A27" s="510" t="s">
        <v>596</v>
      </c>
      <c r="B27" s="368" t="s">
        <v>597</v>
      </c>
      <c r="C27" s="659" t="s">
        <v>77</v>
      </c>
      <c r="D27" s="657">
        <v>125</v>
      </c>
      <c r="E27" s="657">
        <v>0</v>
      </c>
      <c r="F27" s="657">
        <v>0</v>
      </c>
      <c r="G27" s="658">
        <v>0</v>
      </c>
      <c r="H27" s="933"/>
      <c r="I27" s="524" t="s">
        <v>71</v>
      </c>
      <c r="J27" s="159"/>
      <c r="K27" s="160"/>
      <c r="L27" s="160"/>
      <c r="M27" s="160"/>
      <c r="N27" s="160"/>
      <c r="O27" s="806"/>
      <c r="P27" s="806"/>
      <c r="Q27" s="806"/>
      <c r="R27" s="806"/>
      <c r="S27" s="806"/>
    </row>
    <row r="28" spans="1:19" ht="14.25" x14ac:dyDescent="0.45">
      <c r="A28" s="510" t="s">
        <v>596</v>
      </c>
      <c r="B28" s="368" t="s">
        <v>597</v>
      </c>
      <c r="C28" s="659" t="s">
        <v>177</v>
      </c>
      <c r="D28" s="657">
        <v>-4400</v>
      </c>
      <c r="E28" s="657">
        <v>0</v>
      </c>
      <c r="F28" s="657">
        <v>0</v>
      </c>
      <c r="G28" s="658">
        <v>0</v>
      </c>
      <c r="H28" s="933"/>
      <c r="I28" s="524" t="s">
        <v>71</v>
      </c>
      <c r="J28" s="159"/>
      <c r="K28" s="160"/>
      <c r="L28" s="160"/>
      <c r="M28" s="160"/>
      <c r="N28" s="160"/>
      <c r="O28" s="806"/>
      <c r="P28" s="806"/>
      <c r="Q28" s="806"/>
      <c r="R28" s="806"/>
      <c r="S28" s="806"/>
    </row>
    <row r="29" spans="1:19" ht="14.25" x14ac:dyDescent="0.45">
      <c r="A29" s="510" t="s">
        <v>206</v>
      </c>
      <c r="B29" s="368" t="s">
        <v>250</v>
      </c>
      <c r="C29" s="659" t="s">
        <v>77</v>
      </c>
      <c r="D29" s="657">
        <v>6138</v>
      </c>
      <c r="E29" s="657">
        <v>0</v>
      </c>
      <c r="F29" s="657">
        <v>0</v>
      </c>
      <c r="G29" s="658">
        <v>0</v>
      </c>
      <c r="H29" s="933"/>
      <c r="I29" s="524"/>
      <c r="J29" s="159"/>
      <c r="K29" s="160"/>
      <c r="L29" s="160"/>
      <c r="M29" s="160"/>
      <c r="N29" s="544"/>
      <c r="O29" s="544"/>
      <c r="P29" s="544"/>
      <c r="Q29" s="544"/>
      <c r="R29" s="774"/>
      <c r="S29" s="774"/>
    </row>
    <row r="30" spans="1:19" ht="14.25" x14ac:dyDescent="0.45">
      <c r="A30" s="510" t="s">
        <v>206</v>
      </c>
      <c r="B30" s="368" t="s">
        <v>250</v>
      </c>
      <c r="C30" s="659" t="s">
        <v>77</v>
      </c>
      <c r="D30" s="657">
        <f>6138-5000</f>
        <v>1138</v>
      </c>
      <c r="E30" s="657">
        <f>0+5000</f>
        <v>5000</v>
      </c>
      <c r="F30" s="657">
        <v>0</v>
      </c>
      <c r="G30" s="658">
        <v>0</v>
      </c>
      <c r="H30" s="933"/>
      <c r="I30" s="524" t="s">
        <v>71</v>
      </c>
      <c r="J30" s="159"/>
      <c r="K30" s="160"/>
      <c r="L30" s="160"/>
      <c r="M30" s="160" t="s">
        <v>969</v>
      </c>
      <c r="N30" s="160"/>
      <c r="O30" s="544"/>
      <c r="P30" s="544"/>
      <c r="Q30" s="544"/>
      <c r="R30" s="544"/>
      <c r="S30" s="544"/>
    </row>
    <row r="31" spans="1:19" ht="15.75" x14ac:dyDescent="0.5">
      <c r="A31" s="671" t="s">
        <v>129</v>
      </c>
      <c r="B31" s="675"/>
      <c r="C31" s="659"/>
      <c r="D31" s="657"/>
      <c r="E31" s="657"/>
      <c r="F31" s="657"/>
      <c r="G31" s="658"/>
      <c r="H31" s="969"/>
      <c r="I31" s="524"/>
      <c r="J31" s="970"/>
      <c r="K31" s="160"/>
      <c r="L31" s="160"/>
      <c r="M31" s="160"/>
      <c r="N31" s="160"/>
      <c r="O31" s="160"/>
      <c r="P31" s="160"/>
      <c r="Q31" s="544"/>
      <c r="R31" s="774"/>
      <c r="S31" s="774"/>
    </row>
    <row r="32" spans="1:19" ht="14.25" x14ac:dyDescent="0.45">
      <c r="A32" s="510" t="s">
        <v>224</v>
      </c>
      <c r="B32" s="368" t="s">
        <v>342</v>
      </c>
      <c r="C32" s="659" t="s">
        <v>77</v>
      </c>
      <c r="D32" s="657">
        <v>723</v>
      </c>
      <c r="E32" s="657">
        <v>17403.573</v>
      </c>
      <c r="F32" s="657">
        <v>29156.782999999999</v>
      </c>
      <c r="G32" s="658">
        <v>87651.304999999993</v>
      </c>
      <c r="H32" s="933"/>
      <c r="I32" s="524" t="s">
        <v>71</v>
      </c>
      <c r="J32" s="159"/>
      <c r="K32" s="160"/>
      <c r="L32" s="160"/>
      <c r="M32" s="160"/>
      <c r="N32" s="160"/>
      <c r="O32" s="160"/>
      <c r="P32" s="160"/>
      <c r="Q32" s="544"/>
      <c r="R32" s="774"/>
      <c r="S32" s="774"/>
    </row>
    <row r="33" spans="1:19" ht="14.25" x14ac:dyDescent="0.45">
      <c r="A33" s="510" t="s">
        <v>972</v>
      </c>
      <c r="B33" s="219" t="s">
        <v>973</v>
      </c>
      <c r="C33" s="255" t="s">
        <v>77</v>
      </c>
      <c r="D33" s="657">
        <v>152</v>
      </c>
      <c r="E33" s="657">
        <v>0</v>
      </c>
      <c r="F33" s="657">
        <v>0</v>
      </c>
      <c r="G33" s="658">
        <v>0</v>
      </c>
      <c r="H33" s="933"/>
      <c r="I33" s="524" t="s">
        <v>71</v>
      </c>
      <c r="J33" s="159"/>
      <c r="K33" s="160"/>
      <c r="L33" s="160"/>
      <c r="M33" s="160" t="s">
        <v>974</v>
      </c>
      <c r="N33" s="160"/>
      <c r="O33" s="544"/>
      <c r="P33" s="544"/>
      <c r="Q33" s="544"/>
      <c r="R33" s="544"/>
      <c r="S33" s="544"/>
    </row>
    <row r="34" spans="1:19" ht="14.25" x14ac:dyDescent="0.45">
      <c r="A34" s="510" t="s">
        <v>343</v>
      </c>
      <c r="B34" s="368" t="s">
        <v>344</v>
      </c>
      <c r="C34" s="659" t="s">
        <v>77</v>
      </c>
      <c r="D34" s="657">
        <v>7923</v>
      </c>
      <c r="E34" s="657">
        <v>17924</v>
      </c>
      <c r="F34" s="657">
        <v>12924</v>
      </c>
      <c r="G34" s="658">
        <v>12925</v>
      </c>
      <c r="H34" s="933"/>
      <c r="I34" s="524"/>
      <c r="J34" s="159"/>
      <c r="K34" s="160"/>
      <c r="L34" s="160"/>
      <c r="M34" s="160"/>
      <c r="N34" s="160"/>
      <c r="O34" s="160"/>
      <c r="P34" s="160"/>
      <c r="Q34" s="544"/>
      <c r="R34" s="774"/>
      <c r="S34" s="774"/>
    </row>
    <row r="35" spans="1:19" ht="14.25" x14ac:dyDescent="0.45">
      <c r="A35" s="510" t="s">
        <v>343</v>
      </c>
      <c r="B35" s="368" t="s">
        <v>344</v>
      </c>
      <c r="C35" s="659" t="s">
        <v>77</v>
      </c>
      <c r="D35" s="657">
        <f>7923-7423</f>
        <v>500</v>
      </c>
      <c r="E35" s="657">
        <f>17924+7423</f>
        <v>25347</v>
      </c>
      <c r="F35" s="657">
        <v>12924</v>
      </c>
      <c r="G35" s="658">
        <v>12925</v>
      </c>
      <c r="H35" s="933"/>
      <c r="I35" s="524" t="s">
        <v>71</v>
      </c>
      <c r="J35" s="159"/>
      <c r="K35" s="160"/>
      <c r="L35" s="160"/>
      <c r="M35" s="160" t="s">
        <v>969</v>
      </c>
      <c r="N35" s="160"/>
      <c r="O35" s="544"/>
      <c r="P35" s="544"/>
      <c r="Q35" s="544"/>
      <c r="R35" s="544"/>
      <c r="S35" s="544"/>
    </row>
    <row r="36" spans="1:19" s="148" customFormat="1" ht="14.25" x14ac:dyDescent="0.45">
      <c r="A36" s="510" t="s">
        <v>278</v>
      </c>
      <c r="B36" s="368" t="s">
        <v>280</v>
      </c>
      <c r="C36" s="255" t="s">
        <v>77</v>
      </c>
      <c r="D36" s="657">
        <v>0</v>
      </c>
      <c r="E36" s="657">
        <v>3198</v>
      </c>
      <c r="F36" s="657">
        <v>3200</v>
      </c>
      <c r="G36" s="658">
        <v>3199</v>
      </c>
      <c r="H36" s="933"/>
      <c r="I36" s="524" t="s">
        <v>71</v>
      </c>
      <c r="J36" s="159"/>
      <c r="K36" s="160"/>
      <c r="L36" s="160"/>
      <c r="M36" s="160"/>
      <c r="N36" s="160"/>
      <c r="O36" s="726"/>
      <c r="P36" s="726"/>
      <c r="Q36" s="726"/>
      <c r="R36" s="774"/>
      <c r="S36" s="774"/>
    </row>
    <row r="37" spans="1:19" s="148" customFormat="1" ht="14.25" x14ac:dyDescent="0.45">
      <c r="A37" s="510" t="s">
        <v>279</v>
      </c>
      <c r="B37" s="368" t="s">
        <v>265</v>
      </c>
      <c r="C37" s="255" t="s">
        <v>77</v>
      </c>
      <c r="D37" s="657">
        <v>0</v>
      </c>
      <c r="E37" s="657">
        <v>781</v>
      </c>
      <c r="F37" s="657">
        <v>0</v>
      </c>
      <c r="G37" s="658">
        <v>0</v>
      </c>
      <c r="H37" s="933"/>
      <c r="I37" s="524" t="s">
        <v>71</v>
      </c>
      <c r="J37" s="159"/>
      <c r="K37" s="160"/>
      <c r="L37" s="160"/>
      <c r="M37" s="160"/>
      <c r="N37" s="160"/>
      <c r="O37" s="726"/>
      <c r="P37" s="726"/>
      <c r="Q37" s="726"/>
      <c r="R37" s="774"/>
      <c r="S37" s="774"/>
    </row>
    <row r="38" spans="1:19" s="148" customFormat="1" ht="14.25" x14ac:dyDescent="0.45">
      <c r="A38" s="510" t="s">
        <v>345</v>
      </c>
      <c r="B38" s="368" t="s">
        <v>305</v>
      </c>
      <c r="C38" s="255" t="s">
        <v>77</v>
      </c>
      <c r="D38" s="657">
        <v>199</v>
      </c>
      <c r="E38" s="657">
        <v>818</v>
      </c>
      <c r="F38" s="657">
        <v>508</v>
      </c>
      <c r="G38" s="658">
        <v>0</v>
      </c>
      <c r="H38" s="933"/>
      <c r="I38" s="524" t="s">
        <v>71</v>
      </c>
      <c r="J38" s="159"/>
      <c r="K38" s="160"/>
      <c r="L38" s="160"/>
      <c r="M38" s="160"/>
      <c r="N38" s="160"/>
      <c r="O38" s="544"/>
      <c r="P38" s="544"/>
      <c r="Q38" s="544"/>
      <c r="R38" s="544"/>
      <c r="S38" s="544"/>
    </row>
    <row r="39" spans="1:19" s="148" customFormat="1" ht="14.25" x14ac:dyDescent="0.45">
      <c r="A39" s="510" t="s">
        <v>349</v>
      </c>
      <c r="B39" s="368" t="s">
        <v>350</v>
      </c>
      <c r="C39" s="255" t="s">
        <v>77</v>
      </c>
      <c r="D39" s="657">
        <v>7161</v>
      </c>
      <c r="E39" s="657">
        <v>10029</v>
      </c>
      <c r="F39" s="657">
        <v>0</v>
      </c>
      <c r="G39" s="658">
        <v>0</v>
      </c>
      <c r="H39" s="933"/>
      <c r="I39" s="524"/>
      <c r="J39" s="159"/>
      <c r="K39" s="160"/>
      <c r="L39" s="160"/>
      <c r="M39" s="160"/>
      <c r="N39" s="160"/>
      <c r="O39" s="544"/>
      <c r="P39" s="544"/>
      <c r="Q39" s="544"/>
      <c r="R39" s="544"/>
      <c r="S39" s="544"/>
    </row>
    <row r="40" spans="1:19" s="148" customFormat="1" ht="14.25" x14ac:dyDescent="0.45">
      <c r="A40" s="510" t="s">
        <v>349</v>
      </c>
      <c r="B40" s="368" t="s">
        <v>350</v>
      </c>
      <c r="C40" s="255" t="s">
        <v>77</v>
      </c>
      <c r="D40" s="657">
        <f>7161-6861</f>
        <v>300</v>
      </c>
      <c r="E40" s="657">
        <f>10029+6862</f>
        <v>16891</v>
      </c>
      <c r="F40" s="657">
        <v>0</v>
      </c>
      <c r="G40" s="658">
        <v>0</v>
      </c>
      <c r="H40" s="933"/>
      <c r="I40" s="524" t="s">
        <v>71</v>
      </c>
      <c r="J40" s="159"/>
      <c r="K40" s="160"/>
      <c r="L40" s="160"/>
      <c r="M40" s="160" t="s">
        <v>969</v>
      </c>
      <c r="N40" s="160"/>
      <c r="O40" s="544"/>
      <c r="P40" s="544"/>
      <c r="Q40" s="544"/>
      <c r="R40" s="544"/>
      <c r="S40" s="544"/>
    </row>
    <row r="41" spans="1:19" s="148" customFormat="1" ht="14.25" x14ac:dyDescent="0.45">
      <c r="A41" s="279" t="s">
        <v>201</v>
      </c>
      <c r="B41" s="241"/>
      <c r="C41" s="255"/>
      <c r="D41" s="657"/>
      <c r="E41" s="657"/>
      <c r="F41" s="657"/>
      <c r="G41" s="658"/>
      <c r="H41" s="933"/>
      <c r="I41" s="524"/>
      <c r="J41" s="159"/>
      <c r="K41" s="160"/>
      <c r="L41" s="160"/>
      <c r="M41" s="160"/>
      <c r="N41" s="160"/>
      <c r="O41" s="160"/>
      <c r="P41" s="160"/>
      <c r="Q41" s="544"/>
      <c r="R41" s="774"/>
      <c r="S41" s="774"/>
    </row>
    <row r="42" spans="1:19" s="148" customFormat="1" ht="14.25" x14ac:dyDescent="0.45">
      <c r="A42" s="510" t="s">
        <v>234</v>
      </c>
      <c r="B42" s="368" t="s">
        <v>235</v>
      </c>
      <c r="C42" s="255" t="s">
        <v>77</v>
      </c>
      <c r="D42" s="657">
        <v>0</v>
      </c>
      <c r="E42" s="657">
        <v>0</v>
      </c>
      <c r="F42" s="657">
        <v>232.893</v>
      </c>
      <c r="G42" s="658">
        <v>114.437</v>
      </c>
      <c r="H42" s="933"/>
      <c r="I42" s="524" t="s">
        <v>71</v>
      </c>
      <c r="J42" s="159"/>
      <c r="K42" s="160"/>
      <c r="L42" s="160"/>
      <c r="M42" s="160"/>
      <c r="N42" s="544"/>
      <c r="O42" s="544"/>
      <c r="P42" s="774"/>
      <c r="Q42" s="774"/>
      <c r="R42" s="774"/>
      <c r="S42" s="774"/>
    </row>
    <row r="43" spans="1:19" s="148" customFormat="1" ht="14.25" x14ac:dyDescent="0.45">
      <c r="A43" s="510" t="s">
        <v>314</v>
      </c>
      <c r="B43" s="368" t="s">
        <v>315</v>
      </c>
      <c r="C43" s="255" t="s">
        <v>77</v>
      </c>
      <c r="D43" s="657">
        <v>0</v>
      </c>
      <c r="E43" s="657">
        <v>0</v>
      </c>
      <c r="F43" s="657">
        <v>913.27</v>
      </c>
      <c r="G43" s="658">
        <v>0</v>
      </c>
      <c r="H43" s="933"/>
      <c r="I43" s="524" t="s">
        <v>71</v>
      </c>
      <c r="J43" s="159"/>
      <c r="K43" s="160"/>
      <c r="L43" s="160"/>
      <c r="M43" s="160"/>
      <c r="N43" s="160"/>
      <c r="O43" s="753"/>
      <c r="P43" s="753"/>
      <c r="Q43" s="753"/>
      <c r="R43" s="774"/>
      <c r="S43" s="774"/>
    </row>
    <row r="44" spans="1:19" s="148" customFormat="1" ht="14.25" x14ac:dyDescent="0.45">
      <c r="A44" s="510" t="s">
        <v>346</v>
      </c>
      <c r="B44" s="368" t="s">
        <v>347</v>
      </c>
      <c r="C44" s="255" t="s">
        <v>77</v>
      </c>
      <c r="D44" s="657">
        <v>9153.0349999999999</v>
      </c>
      <c r="E44" s="657">
        <v>0</v>
      </c>
      <c r="F44" s="657">
        <v>0</v>
      </c>
      <c r="G44" s="658">
        <v>0</v>
      </c>
      <c r="H44" s="933"/>
      <c r="I44" s="524" t="s">
        <v>71</v>
      </c>
      <c r="J44" s="159"/>
      <c r="K44" s="160"/>
      <c r="L44" s="160"/>
      <c r="M44" s="160"/>
      <c r="N44" s="160"/>
      <c r="O44" s="544"/>
      <c r="P44" s="544"/>
      <c r="Q44" s="544"/>
      <c r="R44" s="544"/>
      <c r="S44" s="544"/>
    </row>
    <row r="45" spans="1:19" s="148" customFormat="1" ht="14.25" x14ac:dyDescent="0.45">
      <c r="A45" s="510" t="s">
        <v>348</v>
      </c>
      <c r="B45" s="368" t="s">
        <v>316</v>
      </c>
      <c r="C45" s="255" t="s">
        <v>77</v>
      </c>
      <c r="D45" s="657">
        <v>2697</v>
      </c>
      <c r="E45" s="657">
        <v>0</v>
      </c>
      <c r="F45" s="657">
        <v>0</v>
      </c>
      <c r="G45" s="658">
        <v>0</v>
      </c>
      <c r="H45" s="933"/>
      <c r="I45" s="524" t="s">
        <v>71</v>
      </c>
      <c r="J45" s="159"/>
      <c r="K45" s="160"/>
      <c r="L45" s="160"/>
      <c r="M45" s="160"/>
      <c r="N45" s="544"/>
      <c r="O45" s="544"/>
      <c r="P45" s="544"/>
      <c r="Q45" s="544"/>
      <c r="R45" s="774"/>
      <c r="S45" s="774"/>
    </row>
    <row r="46" spans="1:19" s="148" customFormat="1" ht="14.25" x14ac:dyDescent="0.45">
      <c r="A46" s="226" t="s">
        <v>281</v>
      </c>
      <c r="B46" s="241"/>
      <c r="C46" s="255"/>
      <c r="D46" s="657"/>
      <c r="E46" s="657"/>
      <c r="F46" s="657"/>
      <c r="G46" s="658"/>
      <c r="H46" s="933"/>
      <c r="I46" s="524"/>
      <c r="J46" s="159"/>
      <c r="K46" s="160"/>
      <c r="L46" s="160"/>
      <c r="M46" s="160"/>
      <c r="N46" s="160"/>
      <c r="O46" s="544"/>
      <c r="P46" s="544"/>
      <c r="Q46" s="544"/>
      <c r="R46" s="774"/>
      <c r="S46" s="774"/>
    </row>
    <row r="47" spans="1:19" s="148" customFormat="1" ht="14.25" x14ac:dyDescent="0.45">
      <c r="A47" s="510" t="s">
        <v>351</v>
      </c>
      <c r="B47" s="368" t="s">
        <v>352</v>
      </c>
      <c r="C47" s="255" t="s">
        <v>77</v>
      </c>
      <c r="D47" s="657">
        <v>610.202</v>
      </c>
      <c r="E47" s="657">
        <v>406.80200000000002</v>
      </c>
      <c r="F47" s="657">
        <v>406.80099999999999</v>
      </c>
      <c r="G47" s="658">
        <v>0</v>
      </c>
      <c r="H47" s="933"/>
      <c r="I47" s="524" t="s">
        <v>71</v>
      </c>
      <c r="J47" s="159"/>
      <c r="K47" s="160"/>
      <c r="L47" s="160"/>
      <c r="M47" s="160"/>
      <c r="N47" s="160"/>
      <c r="O47" s="544"/>
      <c r="P47" s="544"/>
      <c r="Q47" s="544"/>
      <c r="R47" s="774"/>
      <c r="S47" s="774"/>
    </row>
    <row r="48" spans="1:19" ht="14.25" x14ac:dyDescent="0.45">
      <c r="A48" s="226" t="s">
        <v>130</v>
      </c>
      <c r="B48" s="219"/>
      <c r="C48" s="659"/>
      <c r="D48" s="657"/>
      <c r="E48" s="657"/>
      <c r="F48" s="657"/>
      <c r="G48" s="658"/>
      <c r="H48" s="933"/>
      <c r="I48" s="524"/>
      <c r="J48" s="159" t="s">
        <v>71</v>
      </c>
      <c r="K48" s="160"/>
      <c r="L48" s="160"/>
      <c r="M48" s="160"/>
      <c r="N48" s="160"/>
      <c r="O48" s="160"/>
      <c r="P48" s="160"/>
      <c r="Q48" s="544"/>
      <c r="R48" s="774"/>
      <c r="S48" s="774"/>
    </row>
    <row r="49" spans="1:19" ht="14.25" x14ac:dyDescent="0.45">
      <c r="A49" s="510" t="s">
        <v>207</v>
      </c>
      <c r="B49" s="368" t="s">
        <v>208</v>
      </c>
      <c r="C49" s="255" t="s">
        <v>77</v>
      </c>
      <c r="D49" s="657">
        <v>12215</v>
      </c>
      <c r="E49" s="657">
        <v>14973</v>
      </c>
      <c r="F49" s="657">
        <v>0</v>
      </c>
      <c r="G49" s="658">
        <v>0</v>
      </c>
      <c r="H49" s="933"/>
      <c r="I49" s="524"/>
      <c r="J49" s="159"/>
      <c r="K49" s="160"/>
      <c r="L49" s="160"/>
      <c r="M49" s="160"/>
      <c r="N49" s="160"/>
      <c r="O49" s="160"/>
      <c r="P49" s="160"/>
      <c r="Q49" s="544"/>
      <c r="R49" s="774"/>
      <c r="S49" s="774"/>
    </row>
    <row r="50" spans="1:19" ht="14.25" x14ac:dyDescent="0.45">
      <c r="A50" s="510" t="s">
        <v>207</v>
      </c>
      <c r="B50" s="368" t="s">
        <v>208</v>
      </c>
      <c r="C50" s="255" t="s">
        <v>77</v>
      </c>
      <c r="D50" s="657">
        <f>12215-10000</f>
        <v>2215</v>
      </c>
      <c r="E50" s="657">
        <f>14973+10000</f>
        <v>24973</v>
      </c>
      <c r="F50" s="657">
        <v>0</v>
      </c>
      <c r="G50" s="658">
        <v>0</v>
      </c>
      <c r="H50" s="933"/>
      <c r="I50" s="524" t="s">
        <v>71</v>
      </c>
      <c r="J50" s="159"/>
      <c r="K50" s="160"/>
      <c r="L50" s="160"/>
      <c r="M50" s="160" t="s">
        <v>969</v>
      </c>
      <c r="N50" s="160"/>
      <c r="O50" s="544"/>
      <c r="P50" s="544"/>
      <c r="Q50" s="544"/>
      <c r="R50" s="544"/>
      <c r="S50" s="544"/>
    </row>
    <row r="51" spans="1:19" s="148" customFormat="1" ht="14.25" x14ac:dyDescent="0.45">
      <c r="A51" s="510" t="s">
        <v>217</v>
      </c>
      <c r="B51" s="368" t="s">
        <v>218</v>
      </c>
      <c r="C51" s="255" t="s">
        <v>77</v>
      </c>
      <c r="D51" s="657">
        <v>0</v>
      </c>
      <c r="E51" s="657">
        <v>0</v>
      </c>
      <c r="F51" s="657">
        <v>3071.3519999999999</v>
      </c>
      <c r="G51" s="658">
        <v>0</v>
      </c>
      <c r="H51" s="933"/>
      <c r="I51" s="524" t="s">
        <v>71</v>
      </c>
      <c r="J51" s="159"/>
      <c r="K51" s="160"/>
      <c r="L51" s="160"/>
      <c r="M51" s="160"/>
      <c r="N51" s="160"/>
      <c r="O51" s="160"/>
      <c r="P51" s="160"/>
      <c r="Q51" s="544"/>
      <c r="R51" s="774"/>
      <c r="S51" s="774"/>
    </row>
    <row r="52" spans="1:19" ht="14.25" x14ac:dyDescent="0.45">
      <c r="A52" s="510" t="s">
        <v>268</v>
      </c>
      <c r="B52" s="368" t="s">
        <v>269</v>
      </c>
      <c r="C52" s="255" t="s">
        <v>77</v>
      </c>
      <c r="D52" s="657">
        <v>11436.391</v>
      </c>
      <c r="E52" s="657">
        <v>0</v>
      </c>
      <c r="F52" s="657">
        <v>0</v>
      </c>
      <c r="G52" s="658">
        <v>0</v>
      </c>
      <c r="H52" s="933"/>
      <c r="I52" s="524"/>
      <c r="J52" s="159"/>
      <c r="K52" s="160"/>
      <c r="L52" s="160"/>
      <c r="M52" s="160"/>
      <c r="N52" s="160"/>
      <c r="O52" s="160"/>
      <c r="P52" s="160"/>
      <c r="Q52" s="544"/>
      <c r="R52" s="774"/>
      <c r="S52" s="774"/>
    </row>
    <row r="53" spans="1:19" ht="14.25" x14ac:dyDescent="0.45">
      <c r="A53" s="510" t="s">
        <v>268</v>
      </c>
      <c r="B53" s="368" t="s">
        <v>269</v>
      </c>
      <c r="C53" s="255" t="s">
        <v>77</v>
      </c>
      <c r="D53" s="657">
        <f>11436.391-11000</f>
        <v>436.39099999999962</v>
      </c>
      <c r="E53" s="657">
        <f>0+11000</f>
        <v>11000</v>
      </c>
      <c r="F53" s="657">
        <v>0</v>
      </c>
      <c r="G53" s="658">
        <v>0</v>
      </c>
      <c r="H53" s="933"/>
      <c r="I53" s="524" t="s">
        <v>71</v>
      </c>
      <c r="J53" s="159"/>
      <c r="K53" s="160"/>
      <c r="L53" s="160"/>
      <c r="M53" s="160" t="s">
        <v>969</v>
      </c>
      <c r="N53" s="160"/>
      <c r="O53" s="544"/>
      <c r="P53" s="544"/>
      <c r="Q53" s="544"/>
      <c r="R53" s="544"/>
      <c r="S53" s="544"/>
    </row>
    <row r="54" spans="1:19" ht="14.25" x14ac:dyDescent="0.45">
      <c r="A54" s="510" t="s">
        <v>299</v>
      </c>
      <c r="B54" s="368" t="s">
        <v>300</v>
      </c>
      <c r="C54" s="255" t="s">
        <v>77</v>
      </c>
      <c r="D54" s="657">
        <v>7490.192</v>
      </c>
      <c r="E54" s="657">
        <v>0</v>
      </c>
      <c r="F54" s="657">
        <v>0</v>
      </c>
      <c r="G54" s="658">
        <v>0</v>
      </c>
      <c r="H54" s="933"/>
      <c r="I54" s="524"/>
      <c r="J54" s="159"/>
      <c r="K54" s="160"/>
      <c r="L54" s="160"/>
      <c r="M54" s="160"/>
      <c r="N54" s="160"/>
      <c r="O54" s="544"/>
      <c r="P54" s="544"/>
      <c r="Q54" s="544"/>
      <c r="R54" s="774"/>
      <c r="S54" s="774"/>
    </row>
    <row r="55" spans="1:19" ht="14.25" x14ac:dyDescent="0.45">
      <c r="A55" s="510" t="s">
        <v>299</v>
      </c>
      <c r="B55" s="368" t="s">
        <v>300</v>
      </c>
      <c r="C55" s="255" t="s">
        <v>77</v>
      </c>
      <c r="D55" s="657">
        <f>7490.192-7000</f>
        <v>490.19200000000001</v>
      </c>
      <c r="E55" s="657">
        <f>0+7000</f>
        <v>7000</v>
      </c>
      <c r="F55" s="657">
        <v>0</v>
      </c>
      <c r="G55" s="658">
        <v>0</v>
      </c>
      <c r="H55" s="933"/>
      <c r="I55" s="524" t="s">
        <v>71</v>
      </c>
      <c r="J55" s="159"/>
      <c r="K55" s="160"/>
      <c r="L55" s="160"/>
      <c r="M55" s="160" t="s">
        <v>969</v>
      </c>
      <c r="N55" s="160"/>
      <c r="O55" s="544"/>
      <c r="P55" s="544"/>
      <c r="Q55" s="544"/>
      <c r="R55" s="544"/>
      <c r="S55" s="544"/>
    </row>
    <row r="56" spans="1:19" ht="14.25" x14ac:dyDescent="0.45">
      <c r="A56" s="510" t="s">
        <v>209</v>
      </c>
      <c r="B56" s="368" t="s">
        <v>301</v>
      </c>
      <c r="C56" s="255" t="s">
        <v>77</v>
      </c>
      <c r="D56" s="657">
        <v>110</v>
      </c>
      <c r="E56" s="657">
        <v>0</v>
      </c>
      <c r="F56" s="657">
        <v>0</v>
      </c>
      <c r="G56" s="658">
        <v>0</v>
      </c>
      <c r="H56" s="933"/>
      <c r="I56" s="524" t="s">
        <v>71</v>
      </c>
      <c r="J56" s="159"/>
      <c r="K56" s="160"/>
      <c r="L56" s="160"/>
      <c r="M56" s="160"/>
      <c r="N56" s="544"/>
      <c r="O56" s="544"/>
      <c r="P56" s="544"/>
      <c r="Q56" s="544"/>
      <c r="R56" s="774"/>
      <c r="S56" s="774"/>
    </row>
    <row r="57" spans="1:19" ht="14.25" x14ac:dyDescent="0.45">
      <c r="A57" s="510" t="s">
        <v>303</v>
      </c>
      <c r="B57" s="368" t="s">
        <v>302</v>
      </c>
      <c r="C57" s="255" t="s">
        <v>77</v>
      </c>
      <c r="D57" s="657">
        <v>11204</v>
      </c>
      <c r="E57" s="657">
        <v>0</v>
      </c>
      <c r="F57" s="657">
        <v>0</v>
      </c>
      <c r="G57" s="658">
        <v>0</v>
      </c>
      <c r="H57" s="933"/>
      <c r="I57" s="524"/>
      <c r="J57" s="159"/>
      <c r="K57" s="160"/>
      <c r="L57" s="160"/>
      <c r="M57" s="160"/>
      <c r="N57" s="160"/>
      <c r="O57" s="544"/>
      <c r="P57" s="544"/>
      <c r="Q57" s="544"/>
      <c r="R57" s="774"/>
      <c r="S57" s="774"/>
    </row>
    <row r="58" spans="1:19" ht="14.25" x14ac:dyDescent="0.45">
      <c r="A58" s="510" t="s">
        <v>303</v>
      </c>
      <c r="B58" s="368" t="s">
        <v>302</v>
      </c>
      <c r="C58" s="255" t="s">
        <v>77</v>
      </c>
      <c r="D58" s="657">
        <f>11204-5000</f>
        <v>6204</v>
      </c>
      <c r="E58" s="657">
        <f>0+5000</f>
        <v>5000</v>
      </c>
      <c r="F58" s="657">
        <v>0</v>
      </c>
      <c r="G58" s="658">
        <v>0</v>
      </c>
      <c r="H58" s="933"/>
      <c r="I58" s="524" t="s">
        <v>71</v>
      </c>
      <c r="J58" s="159"/>
      <c r="K58" s="160"/>
      <c r="L58" s="160"/>
      <c r="M58" s="160" t="s">
        <v>969</v>
      </c>
      <c r="N58" s="160"/>
      <c r="O58" s="544"/>
      <c r="P58" s="544"/>
      <c r="Q58" s="544"/>
      <c r="R58" s="544"/>
      <c r="S58" s="544"/>
    </row>
    <row r="59" spans="1:19" ht="14.25" x14ac:dyDescent="0.45">
      <c r="A59" s="510" t="s">
        <v>282</v>
      </c>
      <c r="B59" s="368" t="s">
        <v>263</v>
      </c>
      <c r="C59" s="255" t="s">
        <v>77</v>
      </c>
      <c r="D59" s="657">
        <v>6648</v>
      </c>
      <c r="E59" s="657">
        <v>3025.951</v>
      </c>
      <c r="F59" s="657">
        <v>0</v>
      </c>
      <c r="G59" s="658">
        <v>0</v>
      </c>
      <c r="H59" s="933"/>
      <c r="I59" s="524" t="s">
        <v>71</v>
      </c>
      <c r="J59" s="159"/>
      <c r="K59" s="160"/>
      <c r="L59" s="160"/>
      <c r="M59" s="160"/>
      <c r="N59" s="544"/>
      <c r="O59" s="544"/>
      <c r="P59" s="544"/>
      <c r="Q59" s="544"/>
      <c r="R59" s="774"/>
      <c r="S59" s="774"/>
    </row>
    <row r="60" spans="1:19" ht="14.25" x14ac:dyDescent="0.45">
      <c r="A60" s="510" t="s">
        <v>282</v>
      </c>
      <c r="B60" s="368" t="s">
        <v>263</v>
      </c>
      <c r="C60" s="255" t="s">
        <v>177</v>
      </c>
      <c r="D60" s="657">
        <v>-3300</v>
      </c>
      <c r="E60" s="657">
        <v>-2100</v>
      </c>
      <c r="F60" s="657">
        <v>0</v>
      </c>
      <c r="G60" s="658">
        <v>0</v>
      </c>
      <c r="H60" s="933"/>
      <c r="I60" s="524" t="s">
        <v>71</v>
      </c>
      <c r="J60" s="159"/>
      <c r="K60" s="160"/>
      <c r="L60" s="160"/>
      <c r="M60" s="160"/>
      <c r="N60" s="544"/>
      <c r="O60" s="544"/>
      <c r="P60" s="544"/>
      <c r="Q60" s="544"/>
      <c r="R60" s="774"/>
      <c r="S60" s="774"/>
    </row>
    <row r="61" spans="1:19" ht="14.25" x14ac:dyDescent="0.45">
      <c r="A61" s="510" t="s">
        <v>914</v>
      </c>
      <c r="B61" s="219" t="s">
        <v>915</v>
      </c>
      <c r="C61" s="255" t="s">
        <v>77</v>
      </c>
      <c r="D61" s="657">
        <v>0</v>
      </c>
      <c r="E61" s="657">
        <v>500</v>
      </c>
      <c r="F61" s="657">
        <v>0</v>
      </c>
      <c r="G61" s="658">
        <v>0</v>
      </c>
      <c r="H61" s="933"/>
      <c r="I61" s="524" t="s">
        <v>71</v>
      </c>
      <c r="J61" s="159"/>
      <c r="K61" s="160"/>
      <c r="L61" s="160"/>
      <c r="M61" s="160"/>
      <c r="N61" s="160"/>
      <c r="O61" s="544"/>
      <c r="P61" s="544"/>
      <c r="Q61" s="544"/>
      <c r="R61" s="544"/>
      <c r="S61" s="544"/>
    </row>
    <row r="62" spans="1:19" ht="14.25" x14ac:dyDescent="0.45">
      <c r="A62" s="510" t="s">
        <v>598</v>
      </c>
      <c r="B62" s="368" t="s">
        <v>599</v>
      </c>
      <c r="C62" s="255" t="s">
        <v>77</v>
      </c>
      <c r="D62" s="657">
        <v>1002.948</v>
      </c>
      <c r="E62" s="657">
        <v>0</v>
      </c>
      <c r="F62" s="657">
        <v>0</v>
      </c>
      <c r="G62" s="658">
        <v>0</v>
      </c>
      <c r="H62" s="933"/>
      <c r="I62" s="524"/>
      <c r="J62" s="159"/>
      <c r="K62" s="160"/>
      <c r="L62" s="160"/>
      <c r="M62" s="160"/>
      <c r="N62" s="160"/>
      <c r="O62" s="544"/>
      <c r="P62" s="544"/>
      <c r="Q62" s="544"/>
      <c r="R62" s="544"/>
      <c r="S62" s="544"/>
    </row>
    <row r="63" spans="1:19" ht="14.25" x14ac:dyDescent="0.45">
      <c r="A63" s="510" t="s">
        <v>598</v>
      </c>
      <c r="B63" s="368" t="s">
        <v>599</v>
      </c>
      <c r="C63" s="255" t="s">
        <v>77</v>
      </c>
      <c r="D63" s="657">
        <f>1002.948-1000</f>
        <v>2.9479999999999791</v>
      </c>
      <c r="E63" s="657">
        <f>0+1000</f>
        <v>1000</v>
      </c>
      <c r="F63" s="657">
        <v>0</v>
      </c>
      <c r="G63" s="658">
        <v>0</v>
      </c>
      <c r="H63" s="933"/>
      <c r="I63" s="524" t="s">
        <v>71</v>
      </c>
      <c r="J63" s="159"/>
      <c r="K63" s="160"/>
      <c r="L63" s="160"/>
      <c r="M63" s="160" t="s">
        <v>969</v>
      </c>
      <c r="N63" s="160"/>
      <c r="O63" s="544"/>
      <c r="P63" s="544"/>
      <c r="Q63" s="544"/>
      <c r="R63" s="544"/>
      <c r="S63" s="544"/>
    </row>
    <row r="64" spans="1:19" ht="14.25" x14ac:dyDescent="0.45">
      <c r="A64" s="510" t="s">
        <v>600</v>
      </c>
      <c r="B64" s="368" t="s">
        <v>601</v>
      </c>
      <c r="C64" s="255" t="s">
        <v>77</v>
      </c>
      <c r="D64" s="657">
        <v>2969</v>
      </c>
      <c r="E64" s="657">
        <v>2942</v>
      </c>
      <c r="F64" s="657">
        <v>0</v>
      </c>
      <c r="G64" s="658">
        <v>0</v>
      </c>
      <c r="H64" s="933"/>
      <c r="I64" s="524" t="s">
        <v>71</v>
      </c>
      <c r="J64" s="159"/>
      <c r="K64" s="160"/>
      <c r="L64" s="160"/>
      <c r="M64" s="160"/>
      <c r="N64" s="160"/>
      <c r="O64" s="544"/>
      <c r="P64" s="544"/>
      <c r="Q64" s="544"/>
      <c r="R64" s="544"/>
      <c r="S64" s="544"/>
    </row>
    <row r="65" spans="1:19" ht="14.25" x14ac:dyDescent="0.45">
      <c r="A65" s="510" t="s">
        <v>602</v>
      </c>
      <c r="B65" s="368" t="s">
        <v>603</v>
      </c>
      <c r="C65" s="255" t="s">
        <v>77</v>
      </c>
      <c r="D65" s="657">
        <v>702.06299999999999</v>
      </c>
      <c r="E65" s="657">
        <v>0</v>
      </c>
      <c r="F65" s="657">
        <v>0</v>
      </c>
      <c r="G65" s="658">
        <v>0</v>
      </c>
      <c r="H65" s="933"/>
      <c r="I65" s="524" t="s">
        <v>71</v>
      </c>
      <c r="J65" s="159"/>
      <c r="K65" s="160"/>
      <c r="L65" s="160"/>
      <c r="M65" s="160"/>
      <c r="N65" s="160"/>
      <c r="O65" s="544"/>
      <c r="P65" s="544"/>
      <c r="Q65" s="544"/>
      <c r="R65" s="544"/>
      <c r="S65" s="544"/>
    </row>
    <row r="66" spans="1:19" ht="14.25" x14ac:dyDescent="0.45">
      <c r="A66" s="510" t="s">
        <v>288</v>
      </c>
      <c r="B66" s="368" t="s">
        <v>289</v>
      </c>
      <c r="C66" s="255" t="s">
        <v>77</v>
      </c>
      <c r="D66" s="657">
        <v>0</v>
      </c>
      <c r="E66" s="657">
        <v>0</v>
      </c>
      <c r="F66" s="657">
        <v>3808.68</v>
      </c>
      <c r="G66" s="658">
        <v>3641.1129999999998</v>
      </c>
      <c r="H66" s="933"/>
      <c r="I66" s="524" t="s">
        <v>71</v>
      </c>
      <c r="J66" s="159"/>
      <c r="K66" s="160"/>
      <c r="L66" s="160"/>
      <c r="M66" s="160"/>
      <c r="N66" s="160"/>
      <c r="O66" s="544"/>
      <c r="P66" s="544"/>
      <c r="Q66" s="544"/>
      <c r="R66" s="774"/>
      <c r="S66" s="774"/>
    </row>
    <row r="67" spans="1:19" ht="14.25" x14ac:dyDescent="0.45">
      <c r="A67" s="510" t="s">
        <v>210</v>
      </c>
      <c r="B67" s="368" t="s">
        <v>211</v>
      </c>
      <c r="C67" s="255" t="s">
        <v>77</v>
      </c>
      <c r="D67" s="657">
        <v>2338</v>
      </c>
      <c r="E67" s="657">
        <v>0</v>
      </c>
      <c r="F67" s="657">
        <v>0</v>
      </c>
      <c r="G67" s="658">
        <v>0</v>
      </c>
      <c r="H67" s="933"/>
      <c r="I67" s="524"/>
      <c r="J67" s="159"/>
      <c r="K67" s="160"/>
      <c r="L67" s="160"/>
      <c r="M67" s="160"/>
      <c r="N67" s="544"/>
      <c r="O67" s="544"/>
      <c r="P67" s="544"/>
      <c r="Q67" s="544"/>
      <c r="R67" s="774"/>
      <c r="S67" s="774"/>
    </row>
    <row r="68" spans="1:19" ht="14.25" x14ac:dyDescent="0.45">
      <c r="A68" s="510" t="s">
        <v>210</v>
      </c>
      <c r="B68" s="368" t="s">
        <v>211</v>
      </c>
      <c r="C68" s="255" t="s">
        <v>77</v>
      </c>
      <c r="D68" s="657">
        <f>2338-2000</f>
        <v>338</v>
      </c>
      <c r="E68" s="657">
        <f>0+2000</f>
        <v>2000</v>
      </c>
      <c r="F68" s="657">
        <v>0</v>
      </c>
      <c r="G68" s="658">
        <v>0</v>
      </c>
      <c r="H68" s="933"/>
      <c r="I68" s="524" t="s">
        <v>71</v>
      </c>
      <c r="J68" s="159"/>
      <c r="K68" s="160"/>
      <c r="L68" s="160"/>
      <c r="M68" s="160" t="s">
        <v>969</v>
      </c>
      <c r="N68" s="160"/>
      <c r="O68" s="544"/>
      <c r="P68" s="544"/>
      <c r="Q68" s="544"/>
      <c r="R68" s="544"/>
      <c r="S68" s="544"/>
    </row>
    <row r="69" spans="1:19" ht="14.25" x14ac:dyDescent="0.45">
      <c r="A69" s="510" t="s">
        <v>283</v>
      </c>
      <c r="B69" s="368" t="s">
        <v>284</v>
      </c>
      <c r="C69" s="255" t="s">
        <v>77</v>
      </c>
      <c r="D69" s="657">
        <v>691.60199999999998</v>
      </c>
      <c r="E69" s="657">
        <v>2688</v>
      </c>
      <c r="F69" s="657">
        <v>0</v>
      </c>
      <c r="G69" s="658">
        <v>0</v>
      </c>
      <c r="H69" s="933"/>
      <c r="I69" s="524" t="s">
        <v>71</v>
      </c>
      <c r="J69" s="159"/>
      <c r="K69" s="160"/>
      <c r="L69" s="160"/>
      <c r="M69" s="160"/>
      <c r="N69" s="160"/>
      <c r="O69" s="544"/>
      <c r="P69" s="544"/>
      <c r="Q69" s="544"/>
      <c r="R69" s="774"/>
      <c r="S69" s="774"/>
    </row>
    <row r="70" spans="1:19" s="28" customFormat="1" ht="14.25" x14ac:dyDescent="0.45">
      <c r="A70" s="510" t="s">
        <v>251</v>
      </c>
      <c r="B70" s="368" t="s">
        <v>252</v>
      </c>
      <c r="C70" s="255" t="s">
        <v>77</v>
      </c>
      <c r="D70" s="657">
        <v>29</v>
      </c>
      <c r="E70" s="657">
        <v>2141.81</v>
      </c>
      <c r="F70" s="657">
        <v>2141.81</v>
      </c>
      <c r="G70" s="658">
        <v>0</v>
      </c>
      <c r="H70" s="969"/>
      <c r="I70" s="524" t="s">
        <v>71</v>
      </c>
      <c r="J70" s="159"/>
      <c r="K70" s="160"/>
      <c r="L70" s="160"/>
      <c r="M70" s="160"/>
      <c r="N70" s="160"/>
      <c r="O70" s="160"/>
      <c r="P70" s="160"/>
      <c r="Q70" s="544"/>
      <c r="R70" s="774"/>
      <c r="S70" s="774"/>
    </row>
    <row r="71" spans="1:19" s="28" customFormat="1" ht="14.25" x14ac:dyDescent="0.45">
      <c r="A71" s="510" t="s">
        <v>353</v>
      </c>
      <c r="B71" s="368" t="s">
        <v>354</v>
      </c>
      <c r="C71" s="255" t="s">
        <v>77</v>
      </c>
      <c r="D71" s="657">
        <v>3051.0120000000002</v>
      </c>
      <c r="E71" s="657">
        <v>3052</v>
      </c>
      <c r="F71" s="657">
        <v>3051.0120000000002</v>
      </c>
      <c r="G71" s="658">
        <v>0</v>
      </c>
      <c r="H71" s="933"/>
      <c r="I71" s="524"/>
      <c r="J71" s="159"/>
      <c r="K71" s="160"/>
      <c r="L71" s="160"/>
      <c r="M71" s="160"/>
      <c r="N71" s="160"/>
      <c r="O71" s="544"/>
      <c r="P71" s="544"/>
      <c r="Q71" s="544"/>
      <c r="R71" s="544"/>
      <c r="S71" s="544"/>
    </row>
    <row r="72" spans="1:19" s="28" customFormat="1" ht="14.25" x14ac:dyDescent="0.45">
      <c r="A72" s="510" t="s">
        <v>353</v>
      </c>
      <c r="B72" s="368" t="s">
        <v>354</v>
      </c>
      <c r="C72" s="255" t="s">
        <v>77</v>
      </c>
      <c r="D72" s="657">
        <f>3051.012-2500</f>
        <v>551.01200000000017</v>
      </c>
      <c r="E72" s="657">
        <f>3052+2500</f>
        <v>5552</v>
      </c>
      <c r="F72" s="657">
        <v>3051.0120000000002</v>
      </c>
      <c r="G72" s="658">
        <v>0</v>
      </c>
      <c r="H72" s="933"/>
      <c r="I72" s="524" t="s">
        <v>71</v>
      </c>
      <c r="J72" s="159"/>
      <c r="K72" s="160"/>
      <c r="L72" s="160"/>
      <c r="M72" s="160" t="s">
        <v>969</v>
      </c>
      <c r="N72" s="160"/>
      <c r="O72" s="544"/>
      <c r="P72" s="544"/>
      <c r="Q72" s="544"/>
      <c r="R72" s="544"/>
      <c r="S72" s="544"/>
    </row>
    <row r="73" spans="1:19" s="28" customFormat="1" ht="14.25" x14ac:dyDescent="0.45">
      <c r="A73" s="510" t="s">
        <v>355</v>
      </c>
      <c r="B73" s="368" t="s">
        <v>356</v>
      </c>
      <c r="C73" s="255" t="s">
        <v>77</v>
      </c>
      <c r="D73" s="657">
        <v>517</v>
      </c>
      <c r="E73" s="657">
        <v>0</v>
      </c>
      <c r="F73" s="657">
        <v>0</v>
      </c>
      <c r="G73" s="658">
        <v>0</v>
      </c>
      <c r="H73" s="933"/>
      <c r="I73" s="524" t="s">
        <v>71</v>
      </c>
      <c r="J73" s="159"/>
      <c r="K73" s="160"/>
      <c r="L73" s="160"/>
      <c r="M73" s="160"/>
      <c r="N73" s="160"/>
      <c r="O73" s="544"/>
      <c r="P73" s="544"/>
      <c r="Q73" s="544"/>
      <c r="R73" s="544"/>
      <c r="S73" s="544"/>
    </row>
    <row r="74" spans="1:19" s="28" customFormat="1" ht="14.25" x14ac:dyDescent="0.45">
      <c r="A74" s="510" t="s">
        <v>357</v>
      </c>
      <c r="B74" s="368" t="s">
        <v>308</v>
      </c>
      <c r="C74" s="255" t="s">
        <v>77</v>
      </c>
      <c r="D74" s="657">
        <v>2797</v>
      </c>
      <c r="E74" s="657">
        <v>0</v>
      </c>
      <c r="F74" s="657">
        <v>0</v>
      </c>
      <c r="G74" s="658">
        <v>0</v>
      </c>
      <c r="H74" s="933"/>
      <c r="I74" s="524"/>
      <c r="J74" s="159"/>
      <c r="K74" s="160"/>
      <c r="L74" s="160"/>
      <c r="M74" s="160"/>
      <c r="N74" s="160"/>
      <c r="O74" s="544"/>
      <c r="P74" s="544"/>
      <c r="Q74" s="544"/>
      <c r="R74" s="544"/>
      <c r="S74" s="544"/>
    </row>
    <row r="75" spans="1:19" s="28" customFormat="1" ht="14.25" x14ac:dyDescent="0.45">
      <c r="A75" s="510" t="s">
        <v>357</v>
      </c>
      <c r="B75" s="368" t="s">
        <v>308</v>
      </c>
      <c r="C75" s="255" t="s">
        <v>77</v>
      </c>
      <c r="D75" s="657">
        <f>2797-2000</f>
        <v>797</v>
      </c>
      <c r="E75" s="657">
        <f>0+2000</f>
        <v>2000</v>
      </c>
      <c r="F75" s="657">
        <v>0</v>
      </c>
      <c r="G75" s="658">
        <v>0</v>
      </c>
      <c r="H75" s="933"/>
      <c r="I75" s="524" t="s">
        <v>71</v>
      </c>
      <c r="J75" s="159"/>
      <c r="K75" s="160"/>
      <c r="L75" s="160"/>
      <c r="M75" s="160" t="s">
        <v>969</v>
      </c>
      <c r="N75" s="160"/>
      <c r="O75" s="544"/>
      <c r="P75" s="544"/>
      <c r="Q75" s="544"/>
      <c r="R75" s="544"/>
      <c r="S75" s="544"/>
    </row>
    <row r="76" spans="1:19" s="28" customFormat="1" ht="14.25" x14ac:dyDescent="0.45">
      <c r="A76" s="510" t="s">
        <v>358</v>
      </c>
      <c r="B76" s="368" t="s">
        <v>359</v>
      </c>
      <c r="C76" s="255" t="s">
        <v>77</v>
      </c>
      <c r="D76" s="657">
        <v>283.637</v>
      </c>
      <c r="E76" s="657">
        <v>0</v>
      </c>
      <c r="F76" s="657">
        <v>0</v>
      </c>
      <c r="G76" s="658">
        <v>0</v>
      </c>
      <c r="H76" s="933"/>
      <c r="I76" s="524" t="s">
        <v>71</v>
      </c>
      <c r="J76" s="159"/>
      <c r="K76" s="160"/>
      <c r="L76" s="160"/>
      <c r="M76" s="160"/>
      <c r="N76" s="160"/>
      <c r="O76" s="544"/>
      <c r="P76" s="544"/>
      <c r="Q76" s="544"/>
      <c r="R76" s="544"/>
      <c r="S76" s="544"/>
    </row>
    <row r="77" spans="1:19" s="28" customFormat="1" ht="14.25" x14ac:dyDescent="0.45">
      <c r="A77" s="510" t="s">
        <v>604</v>
      </c>
      <c r="B77" s="368" t="s">
        <v>605</v>
      </c>
      <c r="C77" s="255" t="s">
        <v>77</v>
      </c>
      <c r="D77" s="657">
        <v>2507.37</v>
      </c>
      <c r="E77" s="657">
        <v>0</v>
      </c>
      <c r="F77" s="657">
        <v>0</v>
      </c>
      <c r="G77" s="658">
        <v>0</v>
      </c>
      <c r="H77" s="933"/>
      <c r="I77" s="524" t="s">
        <v>71</v>
      </c>
      <c r="J77" s="159"/>
      <c r="K77" s="160"/>
      <c r="L77" s="160"/>
      <c r="M77" s="160"/>
      <c r="N77" s="160"/>
      <c r="O77" s="544"/>
      <c r="P77" s="544"/>
      <c r="Q77" s="544"/>
      <c r="R77" s="544"/>
      <c r="S77" s="544"/>
    </row>
    <row r="78" spans="1:19" s="28" customFormat="1" ht="14.25" x14ac:dyDescent="0.45">
      <c r="A78" s="510" t="s">
        <v>975</v>
      </c>
      <c r="B78" s="219" t="s">
        <v>976</v>
      </c>
      <c r="C78" s="255" t="s">
        <v>77</v>
      </c>
      <c r="D78" s="657">
        <v>17569</v>
      </c>
      <c r="E78" s="657">
        <v>0</v>
      </c>
      <c r="F78" s="657">
        <v>0</v>
      </c>
      <c r="G78" s="658">
        <v>0</v>
      </c>
      <c r="H78" s="933"/>
      <c r="I78" s="524" t="s">
        <v>71</v>
      </c>
      <c r="J78" s="159"/>
      <c r="K78" s="160"/>
      <c r="L78" s="160"/>
      <c r="M78" s="160" t="s">
        <v>974</v>
      </c>
      <c r="N78" s="160"/>
      <c r="O78" s="544"/>
      <c r="P78" s="544"/>
      <c r="Q78" s="544"/>
      <c r="R78" s="544"/>
      <c r="S78" s="544"/>
    </row>
    <row r="79" spans="1:19" ht="14.25" x14ac:dyDescent="0.45">
      <c r="A79" s="226" t="s">
        <v>131</v>
      </c>
      <c r="B79" s="219"/>
      <c r="C79" s="255"/>
      <c r="D79" s="657"/>
      <c r="E79" s="657"/>
      <c r="F79" s="657"/>
      <c r="G79" s="658"/>
      <c r="H79" s="969"/>
      <c r="I79" s="524"/>
      <c r="J79" s="970" t="s">
        <v>71</v>
      </c>
      <c r="K79" s="160"/>
      <c r="L79" s="160"/>
      <c r="M79" s="160"/>
      <c r="N79" s="160"/>
      <c r="O79" s="160"/>
      <c r="P79" s="160"/>
      <c r="Q79" s="544"/>
      <c r="R79" s="774"/>
      <c r="S79" s="774"/>
    </row>
    <row r="80" spans="1:19" ht="14.25" x14ac:dyDescent="0.45">
      <c r="A80" s="510" t="s">
        <v>214</v>
      </c>
      <c r="B80" s="368" t="s">
        <v>237</v>
      </c>
      <c r="C80" s="255" t="s">
        <v>77</v>
      </c>
      <c r="D80" s="657">
        <v>8465</v>
      </c>
      <c r="E80" s="657">
        <v>50000</v>
      </c>
      <c r="F80" s="657">
        <v>0</v>
      </c>
      <c r="G80" s="658">
        <v>0</v>
      </c>
      <c r="H80" s="933"/>
      <c r="I80" s="524"/>
      <c r="J80" s="159"/>
      <c r="K80" s="160"/>
      <c r="L80" s="160"/>
      <c r="M80" s="160"/>
      <c r="N80" s="544"/>
      <c r="O80" s="544"/>
      <c r="P80" s="544"/>
      <c r="Q80" s="544"/>
      <c r="R80" s="774"/>
      <c r="S80" s="774"/>
    </row>
    <row r="81" spans="1:19" ht="14.25" x14ac:dyDescent="0.45">
      <c r="A81" s="510" t="s">
        <v>214</v>
      </c>
      <c r="B81" s="368" t="s">
        <v>237</v>
      </c>
      <c r="C81" s="255" t="s">
        <v>77</v>
      </c>
      <c r="D81" s="657">
        <f>8465-8000</f>
        <v>465</v>
      </c>
      <c r="E81" s="657">
        <f>50000+8000</f>
        <v>58000</v>
      </c>
      <c r="F81" s="657">
        <v>0</v>
      </c>
      <c r="G81" s="658">
        <v>0</v>
      </c>
      <c r="H81" s="933"/>
      <c r="I81" s="524" t="s">
        <v>71</v>
      </c>
      <c r="J81" s="159"/>
      <c r="K81" s="160"/>
      <c r="L81" s="160"/>
      <c r="M81" s="160" t="s">
        <v>969</v>
      </c>
      <c r="N81" s="160"/>
      <c r="O81" s="544"/>
      <c r="P81" s="544"/>
      <c r="Q81" s="544"/>
      <c r="R81" s="544"/>
      <c r="S81" s="544"/>
    </row>
    <row r="82" spans="1:19" ht="14.25" x14ac:dyDescent="0.45">
      <c r="A82" s="510" t="s">
        <v>236</v>
      </c>
      <c r="B82" s="368" t="s">
        <v>285</v>
      </c>
      <c r="C82" s="255" t="s">
        <v>77</v>
      </c>
      <c r="D82" s="657">
        <v>52586</v>
      </c>
      <c r="E82" s="657">
        <v>228107</v>
      </c>
      <c r="F82" s="657">
        <v>110854</v>
      </c>
      <c r="G82" s="658">
        <v>27375</v>
      </c>
      <c r="H82" s="933"/>
      <c r="I82" s="524"/>
      <c r="J82" s="159"/>
      <c r="K82" s="160"/>
      <c r="L82" s="160"/>
      <c r="M82" s="160"/>
      <c r="N82" s="544"/>
      <c r="O82" s="544"/>
      <c r="P82" s="544"/>
      <c r="Q82" s="544"/>
      <c r="R82" s="774"/>
      <c r="S82" s="774"/>
    </row>
    <row r="83" spans="1:19" ht="14.25" x14ac:dyDescent="0.45">
      <c r="A83" s="510" t="s">
        <v>236</v>
      </c>
      <c r="B83" s="368" t="s">
        <v>285</v>
      </c>
      <c r="C83" s="255" t="s">
        <v>77</v>
      </c>
      <c r="D83" s="657">
        <f>52586-50000</f>
        <v>2586</v>
      </c>
      <c r="E83" s="657">
        <f>228107+50000</f>
        <v>278107</v>
      </c>
      <c r="F83" s="657">
        <v>110854</v>
      </c>
      <c r="G83" s="658">
        <v>27375</v>
      </c>
      <c r="H83" s="933"/>
      <c r="I83" s="524" t="s">
        <v>71</v>
      </c>
      <c r="J83" s="159"/>
      <c r="K83" s="160"/>
      <c r="L83" s="160"/>
      <c r="M83" s="160" t="s">
        <v>969</v>
      </c>
      <c r="N83" s="160"/>
      <c r="O83" s="544"/>
      <c r="P83" s="544"/>
      <c r="Q83" s="544"/>
      <c r="R83" s="544"/>
      <c r="S83" s="544"/>
    </row>
    <row r="84" spans="1:19" ht="14.25" x14ac:dyDescent="0.45">
      <c r="A84" s="510" t="s">
        <v>236</v>
      </c>
      <c r="B84" s="368" t="s">
        <v>285</v>
      </c>
      <c r="C84" s="659" t="s">
        <v>77</v>
      </c>
      <c r="D84" s="657">
        <v>10950</v>
      </c>
      <c r="E84" s="657">
        <v>10950</v>
      </c>
      <c r="F84" s="657">
        <v>10950</v>
      </c>
      <c r="G84" s="658">
        <v>10950</v>
      </c>
      <c r="H84" s="933"/>
      <c r="I84" s="524" t="str">
        <f>IF(Finansieringsforslag!N169="x","x"," ")</f>
        <v>x</v>
      </c>
      <c r="J84" s="159"/>
      <c r="K84" s="160"/>
      <c r="L84" s="160"/>
      <c r="M84" s="160" t="s">
        <v>1030</v>
      </c>
      <c r="N84" s="160"/>
      <c r="O84" s="544"/>
      <c r="P84" s="544"/>
      <c r="Q84" s="544"/>
      <c r="R84" s="544"/>
      <c r="S84" s="544"/>
    </row>
    <row r="85" spans="1:19" ht="14.25" x14ac:dyDescent="0.45">
      <c r="A85" s="510" t="s">
        <v>290</v>
      </c>
      <c r="B85" s="368" t="s">
        <v>291</v>
      </c>
      <c r="C85" s="255" t="s">
        <v>77</v>
      </c>
      <c r="D85" s="657">
        <v>0</v>
      </c>
      <c r="E85" s="657">
        <v>0</v>
      </c>
      <c r="F85" s="657">
        <v>762.75199999999995</v>
      </c>
      <c r="G85" s="658">
        <v>0</v>
      </c>
      <c r="H85" s="933"/>
      <c r="I85" s="524" t="s">
        <v>71</v>
      </c>
      <c r="J85" s="159"/>
      <c r="K85" s="160"/>
      <c r="L85" s="160"/>
      <c r="M85" s="160"/>
      <c r="N85" s="160"/>
      <c r="O85" s="735"/>
      <c r="P85" s="735"/>
      <c r="Q85" s="735"/>
      <c r="R85" s="774"/>
      <c r="S85" s="774"/>
    </row>
    <row r="86" spans="1:19" ht="14.25" x14ac:dyDescent="0.45">
      <c r="A86" s="510" t="s">
        <v>253</v>
      </c>
      <c r="B86" s="368" t="s">
        <v>1026</v>
      </c>
      <c r="C86" s="659" t="s">
        <v>77</v>
      </c>
      <c r="D86" s="657">
        <v>2824</v>
      </c>
      <c r="E86" s="657">
        <v>26788</v>
      </c>
      <c r="F86" s="657">
        <v>5509</v>
      </c>
      <c r="G86" s="658">
        <v>0</v>
      </c>
      <c r="H86" s="933"/>
      <c r="I86" s="524" t="s">
        <v>71</v>
      </c>
      <c r="J86" s="159"/>
      <c r="K86" s="160"/>
      <c r="L86" s="160"/>
      <c r="M86" s="160" t="s">
        <v>1027</v>
      </c>
      <c r="N86" s="160"/>
      <c r="O86" s="160"/>
      <c r="P86" s="160"/>
      <c r="Q86" s="544"/>
      <c r="R86" s="774"/>
      <c r="S86" s="774"/>
    </row>
    <row r="87" spans="1:19" ht="14.25" x14ac:dyDescent="0.45">
      <c r="A87" s="510" t="s">
        <v>254</v>
      </c>
      <c r="B87" s="368" t="s">
        <v>257</v>
      </c>
      <c r="C87" s="255" t="s">
        <v>77</v>
      </c>
      <c r="D87" s="657">
        <v>63306.459000000003</v>
      </c>
      <c r="E87" s="657">
        <v>22082.205999999998</v>
      </c>
      <c r="F87" s="657">
        <v>3914.4479999999999</v>
      </c>
      <c r="G87" s="658">
        <v>0</v>
      </c>
      <c r="H87" s="933"/>
      <c r="I87" s="524" t="s">
        <v>71</v>
      </c>
      <c r="J87" s="159"/>
      <c r="K87" s="160"/>
      <c r="L87" s="160"/>
      <c r="M87" s="160"/>
      <c r="N87" s="160"/>
      <c r="O87" s="160"/>
      <c r="P87" s="160"/>
      <c r="Q87" s="544"/>
      <c r="R87" s="774"/>
      <c r="S87" s="774"/>
    </row>
    <row r="88" spans="1:19" ht="14.25" x14ac:dyDescent="0.45">
      <c r="A88" s="510" t="s">
        <v>255</v>
      </c>
      <c r="B88" s="368" t="s">
        <v>240</v>
      </c>
      <c r="C88" s="255" t="s">
        <v>77</v>
      </c>
      <c r="D88" s="657">
        <v>10047.035</v>
      </c>
      <c r="E88" s="657">
        <v>29873.473000000002</v>
      </c>
      <c r="F88" s="657">
        <v>40821.519999999997</v>
      </c>
      <c r="G88" s="658">
        <v>39811.921000000002</v>
      </c>
      <c r="H88" s="933"/>
      <c r="I88" s="524" t="s">
        <v>71</v>
      </c>
      <c r="J88" s="159"/>
      <c r="K88" s="160"/>
      <c r="L88" s="160"/>
      <c r="M88" s="160"/>
      <c r="N88" s="160"/>
      <c r="O88" s="544"/>
      <c r="P88" s="544"/>
      <c r="Q88" s="544"/>
      <c r="R88" s="774"/>
      <c r="S88" s="774"/>
    </row>
    <row r="89" spans="1:19" ht="14.25" x14ac:dyDescent="0.45">
      <c r="A89" s="510" t="s">
        <v>256</v>
      </c>
      <c r="B89" s="368" t="s">
        <v>258</v>
      </c>
      <c r="C89" s="255" t="s">
        <v>77</v>
      </c>
      <c r="D89" s="657">
        <v>86</v>
      </c>
      <c r="E89" s="657">
        <v>26175.647000000001</v>
      </c>
      <c r="F89" s="657">
        <v>13156.864</v>
      </c>
      <c r="G89" s="658">
        <v>12365.254999999999</v>
      </c>
      <c r="H89" s="933"/>
      <c r="I89" s="524" t="s">
        <v>71</v>
      </c>
      <c r="J89" s="159"/>
      <c r="K89" s="160"/>
      <c r="L89" s="160"/>
      <c r="M89" s="160"/>
      <c r="N89" s="544"/>
      <c r="O89" s="544"/>
      <c r="P89" s="544"/>
      <c r="Q89" s="544"/>
      <c r="R89" s="774"/>
      <c r="S89" s="774"/>
    </row>
    <row r="90" spans="1:19" ht="14.25" x14ac:dyDescent="0.45">
      <c r="A90" s="510" t="s">
        <v>286</v>
      </c>
      <c r="B90" s="368" t="s">
        <v>287</v>
      </c>
      <c r="C90" s="255" t="s">
        <v>77</v>
      </c>
      <c r="D90" s="657">
        <v>10170.039000000001</v>
      </c>
      <c r="E90" s="657">
        <v>0</v>
      </c>
      <c r="F90" s="657">
        <v>9832.393</v>
      </c>
      <c r="G90" s="658">
        <v>0</v>
      </c>
      <c r="H90" s="933"/>
      <c r="I90" s="524"/>
      <c r="J90" s="159"/>
      <c r="K90" s="160"/>
      <c r="L90" s="160"/>
      <c r="M90" s="160"/>
      <c r="N90" s="160"/>
      <c r="O90" s="544"/>
      <c r="P90" s="544"/>
      <c r="Q90" s="544"/>
      <c r="R90" s="774"/>
      <c r="S90" s="774"/>
    </row>
    <row r="91" spans="1:19" ht="14.25" x14ac:dyDescent="0.45">
      <c r="A91" s="510" t="s">
        <v>286</v>
      </c>
      <c r="B91" s="368" t="s">
        <v>287</v>
      </c>
      <c r="C91" s="255" t="s">
        <v>77</v>
      </c>
      <c r="D91" s="657">
        <f>10170.039-9170</f>
        <v>1000.0390000000007</v>
      </c>
      <c r="E91" s="657">
        <f>0+9170</f>
        <v>9170</v>
      </c>
      <c r="F91" s="657">
        <v>9832.393</v>
      </c>
      <c r="G91" s="658">
        <v>0</v>
      </c>
      <c r="H91" s="933"/>
      <c r="I91" s="524" t="s">
        <v>71</v>
      </c>
      <c r="J91" s="159"/>
      <c r="K91" s="160"/>
      <c r="L91" s="160"/>
      <c r="M91" s="160" t="s">
        <v>969</v>
      </c>
      <c r="N91" s="160"/>
      <c r="O91" s="544"/>
      <c r="P91" s="544"/>
      <c r="Q91" s="544"/>
      <c r="R91" s="544"/>
      <c r="S91" s="544"/>
    </row>
    <row r="92" spans="1:19" ht="14.25" x14ac:dyDescent="0.45">
      <c r="A92" s="224" t="s">
        <v>763</v>
      </c>
      <c r="B92" s="219" t="s">
        <v>764</v>
      </c>
      <c r="C92" s="255" t="s">
        <v>77</v>
      </c>
      <c r="D92" s="657">
        <v>2938.6379999999999</v>
      </c>
      <c r="E92" s="657">
        <v>0</v>
      </c>
      <c r="F92" s="657">
        <v>0</v>
      </c>
      <c r="G92" s="658">
        <v>601.76800000000003</v>
      </c>
      <c r="H92" s="933"/>
      <c r="I92" s="524"/>
      <c r="J92" s="159"/>
      <c r="K92" s="160"/>
      <c r="L92" s="160"/>
      <c r="M92" s="160"/>
      <c r="N92" s="160"/>
      <c r="O92" s="544"/>
      <c r="P92" s="544"/>
      <c r="Q92" s="544"/>
      <c r="R92" s="544"/>
      <c r="S92" s="544"/>
    </row>
    <row r="93" spans="1:19" ht="14.25" x14ac:dyDescent="0.45">
      <c r="A93" s="224" t="s">
        <v>763</v>
      </c>
      <c r="B93" s="219" t="s">
        <v>764</v>
      </c>
      <c r="C93" s="255" t="s">
        <v>77</v>
      </c>
      <c r="D93" s="657">
        <f>2938.638-2500</f>
        <v>438.63799999999992</v>
      </c>
      <c r="E93" s="657">
        <f>0+2500</f>
        <v>2500</v>
      </c>
      <c r="F93" s="657">
        <v>0</v>
      </c>
      <c r="G93" s="658">
        <v>601.76800000000003</v>
      </c>
      <c r="H93" s="933"/>
      <c r="I93" s="524" t="s">
        <v>71</v>
      </c>
      <c r="J93" s="159"/>
      <c r="K93" s="160"/>
      <c r="L93" s="160"/>
      <c r="M93" s="160" t="s">
        <v>969</v>
      </c>
      <c r="N93" s="160"/>
      <c r="O93" s="544"/>
      <c r="P93" s="544"/>
      <c r="Q93" s="544"/>
      <c r="R93" s="544"/>
      <c r="S93" s="544"/>
    </row>
    <row r="94" spans="1:19" ht="14.25" x14ac:dyDescent="0.45">
      <c r="A94" s="224" t="s">
        <v>763</v>
      </c>
      <c r="B94" s="219" t="s">
        <v>764</v>
      </c>
      <c r="C94" s="255" t="s">
        <v>77</v>
      </c>
      <c r="D94" s="256">
        <v>500</v>
      </c>
      <c r="E94" s="256">
        <v>0</v>
      </c>
      <c r="F94" s="256">
        <v>0</v>
      </c>
      <c r="G94" s="257">
        <v>0</v>
      </c>
      <c r="H94" s="933"/>
      <c r="I94" s="524" t="str">
        <f>IF(Finansieringsforslag!N47="x","x"," ")</f>
        <v>x</v>
      </c>
      <c r="J94" s="159"/>
      <c r="K94" s="160"/>
      <c r="L94" s="160"/>
      <c r="M94" s="160" t="s">
        <v>1030</v>
      </c>
      <c r="N94" s="160"/>
      <c r="O94" s="854"/>
      <c r="P94" s="854"/>
      <c r="Q94" s="854"/>
      <c r="R94" s="854"/>
      <c r="S94" s="854"/>
    </row>
    <row r="95" spans="1:19" ht="14.25" x14ac:dyDescent="0.45">
      <c r="A95" s="226" t="s">
        <v>132</v>
      </c>
      <c r="B95" s="219"/>
      <c r="C95" s="255"/>
      <c r="D95" s="657"/>
      <c r="E95" s="657"/>
      <c r="F95" s="657"/>
      <c r="G95" s="658"/>
      <c r="H95" s="933"/>
      <c r="I95" s="524"/>
      <c r="J95" s="159"/>
      <c r="K95" s="160"/>
      <c r="L95" s="160"/>
      <c r="M95" s="160"/>
      <c r="N95" s="160"/>
      <c r="O95" s="436"/>
      <c r="P95" s="160"/>
      <c r="Q95" s="544"/>
      <c r="R95" s="774"/>
      <c r="S95" s="774"/>
    </row>
    <row r="96" spans="1:19" ht="14.25" x14ac:dyDescent="0.45">
      <c r="A96" s="510" t="s">
        <v>312</v>
      </c>
      <c r="B96" s="368" t="s">
        <v>313</v>
      </c>
      <c r="C96" s="255" t="s">
        <v>77</v>
      </c>
      <c r="D96" s="657">
        <v>3864.6149999999998</v>
      </c>
      <c r="E96" s="657">
        <v>0</v>
      </c>
      <c r="F96" s="657">
        <v>0</v>
      </c>
      <c r="G96" s="658">
        <v>0</v>
      </c>
      <c r="H96" s="933"/>
      <c r="I96" s="524"/>
      <c r="J96" s="159"/>
      <c r="K96" s="160"/>
      <c r="L96" s="160"/>
      <c r="M96" s="160"/>
      <c r="N96" s="160"/>
      <c r="O96" s="752"/>
      <c r="P96" s="753"/>
      <c r="Q96" s="753"/>
      <c r="R96" s="774"/>
      <c r="S96" s="774"/>
    </row>
    <row r="97" spans="1:19" ht="14.25" x14ac:dyDescent="0.45">
      <c r="A97" s="510" t="s">
        <v>312</v>
      </c>
      <c r="B97" s="368" t="s">
        <v>313</v>
      </c>
      <c r="C97" s="255" t="s">
        <v>77</v>
      </c>
      <c r="D97" s="657">
        <f>3864.615-3500</f>
        <v>364.61499999999978</v>
      </c>
      <c r="E97" s="657">
        <f>0+3500</f>
        <v>3500</v>
      </c>
      <c r="F97" s="657">
        <v>0</v>
      </c>
      <c r="G97" s="658">
        <v>0</v>
      </c>
      <c r="H97" s="933"/>
      <c r="I97" s="524" t="s">
        <v>71</v>
      </c>
      <c r="J97" s="159"/>
      <c r="K97" s="160"/>
      <c r="L97" s="160"/>
      <c r="M97" s="160" t="s">
        <v>969</v>
      </c>
      <c r="N97" s="160"/>
      <c r="O97" s="720"/>
      <c r="P97" s="544"/>
      <c r="Q97" s="544"/>
      <c r="R97" s="544"/>
      <c r="S97" s="544"/>
    </row>
    <row r="98" spans="1:19" ht="14.25" x14ac:dyDescent="0.45">
      <c r="A98" s="510" t="s">
        <v>360</v>
      </c>
      <c r="B98" s="368" t="s">
        <v>239</v>
      </c>
      <c r="C98" s="255" t="s">
        <v>77</v>
      </c>
      <c r="D98" s="657">
        <v>199</v>
      </c>
      <c r="E98" s="657">
        <v>817</v>
      </c>
      <c r="F98" s="657">
        <v>508.50200000000001</v>
      </c>
      <c r="G98" s="658">
        <v>0</v>
      </c>
      <c r="H98" s="933"/>
      <c r="I98" s="524" t="s">
        <v>71</v>
      </c>
      <c r="J98" s="159"/>
      <c r="K98" s="160"/>
      <c r="L98" s="160"/>
      <c r="M98" s="160"/>
      <c r="N98" s="544"/>
      <c r="O98" s="720"/>
      <c r="P98" s="544"/>
      <c r="Q98" s="544"/>
      <c r="R98" s="774"/>
      <c r="S98" s="774"/>
    </row>
    <row r="99" spans="1:19" s="148" customFormat="1" ht="14.25" x14ac:dyDescent="0.45">
      <c r="A99" s="226" t="s">
        <v>259</v>
      </c>
      <c r="B99" s="368"/>
      <c r="C99" s="255"/>
      <c r="D99" s="657"/>
      <c r="E99" s="657"/>
      <c r="F99" s="657"/>
      <c r="G99" s="658"/>
      <c r="H99" s="933"/>
      <c r="I99" s="524"/>
      <c r="J99" s="159"/>
      <c r="K99" s="160"/>
      <c r="L99" s="160"/>
      <c r="M99" s="160"/>
      <c r="N99" s="160"/>
      <c r="O99" s="160"/>
      <c r="P99" s="160"/>
      <c r="Q99" s="544"/>
      <c r="R99" s="774"/>
      <c r="S99" s="774"/>
    </row>
    <row r="100" spans="1:19" s="148" customFormat="1" ht="14.25" x14ac:dyDescent="0.45">
      <c r="A100" s="510" t="s">
        <v>260</v>
      </c>
      <c r="B100" s="368" t="s">
        <v>261</v>
      </c>
      <c r="C100" s="659" t="s">
        <v>77</v>
      </c>
      <c r="D100" s="657">
        <v>5866.884</v>
      </c>
      <c r="E100" s="657">
        <v>0</v>
      </c>
      <c r="F100" s="657">
        <v>0</v>
      </c>
      <c r="G100" s="658">
        <v>0</v>
      </c>
      <c r="H100" s="933"/>
      <c r="I100" s="524"/>
      <c r="J100" s="159"/>
      <c r="K100" s="160"/>
      <c r="L100" s="160"/>
      <c r="M100" s="160"/>
      <c r="N100" s="544"/>
      <c r="O100" s="544"/>
      <c r="P100" s="544"/>
      <c r="Q100" s="544"/>
      <c r="R100" s="774"/>
      <c r="S100" s="774"/>
    </row>
    <row r="101" spans="1:19" s="148" customFormat="1" ht="14.25" x14ac:dyDescent="0.45">
      <c r="A101" s="510" t="s">
        <v>260</v>
      </c>
      <c r="B101" s="368" t="s">
        <v>261</v>
      </c>
      <c r="C101" s="659" t="s">
        <v>77</v>
      </c>
      <c r="D101" s="657">
        <f>5866.884-5500</f>
        <v>366.88400000000001</v>
      </c>
      <c r="E101" s="657">
        <f>0+5500</f>
        <v>5500</v>
      </c>
      <c r="F101" s="657">
        <v>0</v>
      </c>
      <c r="G101" s="658">
        <v>0</v>
      </c>
      <c r="H101" s="933"/>
      <c r="I101" s="524" t="s">
        <v>71</v>
      </c>
      <c r="J101" s="159"/>
      <c r="K101" s="160"/>
      <c r="L101" s="160"/>
      <c r="M101" s="160" t="s">
        <v>969</v>
      </c>
      <c r="N101" s="160"/>
      <c r="O101" s="544"/>
      <c r="P101" s="544"/>
      <c r="Q101" s="544"/>
      <c r="R101" s="544"/>
      <c r="S101" s="544"/>
    </row>
    <row r="102" spans="1:19" s="148" customFormat="1" ht="14.25" x14ac:dyDescent="0.45">
      <c r="A102" s="510" t="s">
        <v>361</v>
      </c>
      <c r="B102" s="368" t="s">
        <v>362</v>
      </c>
      <c r="C102" s="659" t="s">
        <v>77</v>
      </c>
      <c r="D102" s="657">
        <v>3051.0120000000002</v>
      </c>
      <c r="E102" s="657">
        <v>0</v>
      </c>
      <c r="F102" s="657">
        <v>0</v>
      </c>
      <c r="G102" s="658">
        <v>0</v>
      </c>
      <c r="H102" s="933"/>
      <c r="I102" s="524"/>
      <c r="J102" s="159"/>
      <c r="K102" s="160"/>
      <c r="L102" s="160"/>
      <c r="M102" s="160"/>
      <c r="N102" s="160"/>
      <c r="O102" s="544"/>
      <c r="P102" s="544"/>
      <c r="Q102" s="544"/>
      <c r="R102" s="774"/>
      <c r="S102" s="774"/>
    </row>
    <row r="103" spans="1:19" s="148" customFormat="1" ht="14.25" x14ac:dyDescent="0.45">
      <c r="A103" s="510" t="s">
        <v>361</v>
      </c>
      <c r="B103" s="368" t="s">
        <v>362</v>
      </c>
      <c r="C103" s="659" t="s">
        <v>77</v>
      </c>
      <c r="D103" s="657">
        <f>3051.012-2851</f>
        <v>200.01200000000017</v>
      </c>
      <c r="E103" s="657">
        <f>0+2851</f>
        <v>2851</v>
      </c>
      <c r="F103" s="657">
        <v>0</v>
      </c>
      <c r="G103" s="658">
        <v>0</v>
      </c>
      <c r="H103" s="933"/>
      <c r="I103" s="524" t="s">
        <v>71</v>
      </c>
      <c r="J103" s="159"/>
      <c r="K103" s="160"/>
      <c r="L103" s="160"/>
      <c r="M103" s="160" t="s">
        <v>969</v>
      </c>
      <c r="N103" s="160"/>
      <c r="O103" s="544"/>
      <c r="P103" s="544"/>
      <c r="Q103" s="544"/>
      <c r="R103" s="544"/>
      <c r="S103" s="544"/>
    </row>
    <row r="104" spans="1:19" s="148" customFormat="1" ht="14.25" x14ac:dyDescent="0.45">
      <c r="A104" s="226" t="s">
        <v>133</v>
      </c>
      <c r="B104" s="219"/>
      <c r="C104" s="255"/>
      <c r="D104" s="657"/>
      <c r="E104" s="657"/>
      <c r="F104" s="657"/>
      <c r="G104" s="658"/>
      <c r="H104" s="969"/>
      <c r="I104" s="524"/>
      <c r="J104" s="159"/>
      <c r="K104" s="160"/>
      <c r="L104" s="160"/>
      <c r="M104" s="160"/>
      <c r="N104" s="160"/>
      <c r="O104" s="160"/>
      <c r="P104" s="160"/>
      <c r="Q104" s="544"/>
      <c r="R104" s="774"/>
      <c r="S104" s="774"/>
    </row>
    <row r="105" spans="1:19" s="148" customFormat="1" ht="14.25" x14ac:dyDescent="0.45">
      <c r="A105" s="510" t="s">
        <v>363</v>
      </c>
      <c r="B105" s="368" t="s">
        <v>364</v>
      </c>
      <c r="C105" s="659" t="s">
        <v>77</v>
      </c>
      <c r="D105" s="657">
        <v>508.50200000000001</v>
      </c>
      <c r="E105" s="657">
        <v>0</v>
      </c>
      <c r="F105" s="657">
        <v>0</v>
      </c>
      <c r="G105" s="658">
        <v>0</v>
      </c>
      <c r="H105" s="933"/>
      <c r="I105" s="524" t="s">
        <v>71</v>
      </c>
      <c r="J105" s="159"/>
      <c r="K105" s="160"/>
      <c r="L105" s="160"/>
      <c r="M105" s="160"/>
      <c r="N105" s="160"/>
      <c r="O105" s="753"/>
      <c r="P105" s="753"/>
      <c r="Q105" s="753"/>
      <c r="R105" s="774"/>
      <c r="S105" s="774"/>
    </row>
    <row r="106" spans="1:19" s="148" customFormat="1" ht="14.25" x14ac:dyDescent="0.45">
      <c r="A106" s="510" t="s">
        <v>212</v>
      </c>
      <c r="B106" s="368" t="s">
        <v>213</v>
      </c>
      <c r="C106" s="659" t="s">
        <v>77</v>
      </c>
      <c r="D106" s="657">
        <v>408.20600000000002</v>
      </c>
      <c r="E106" s="657">
        <v>259.76299999999998</v>
      </c>
      <c r="F106" s="657">
        <v>0</v>
      </c>
      <c r="G106" s="658">
        <v>0</v>
      </c>
      <c r="H106" s="933"/>
      <c r="I106" s="524" t="s">
        <v>71</v>
      </c>
      <c r="J106" s="159"/>
      <c r="K106" s="160"/>
      <c r="L106" s="160"/>
      <c r="M106" s="160"/>
      <c r="N106" s="544"/>
      <c r="O106" s="544"/>
      <c r="P106" s="544"/>
      <c r="Q106" s="544"/>
      <c r="R106" s="774"/>
      <c r="S106" s="774"/>
    </row>
    <row r="107" spans="1:19" s="148" customFormat="1" ht="14.25" x14ac:dyDescent="0.45">
      <c r="A107" s="224" t="s">
        <v>916</v>
      </c>
      <c r="B107" s="219" t="s">
        <v>970</v>
      </c>
      <c r="C107" s="255" t="s">
        <v>77</v>
      </c>
      <c r="D107" s="657">
        <v>260</v>
      </c>
      <c r="E107" s="657">
        <v>406</v>
      </c>
      <c r="F107" s="657">
        <v>0</v>
      </c>
      <c r="G107" s="658">
        <v>0</v>
      </c>
      <c r="H107" s="933"/>
      <c r="I107" s="524" t="s">
        <v>71</v>
      </c>
      <c r="J107" s="159"/>
      <c r="K107" s="160"/>
      <c r="L107" s="160"/>
      <c r="M107" s="160"/>
      <c r="N107" s="160"/>
      <c r="O107" s="816"/>
      <c r="P107" s="816"/>
      <c r="Q107" s="816"/>
      <c r="R107" s="816"/>
      <c r="S107" s="816"/>
    </row>
    <row r="108" spans="1:19" s="148" customFormat="1" ht="14.25" x14ac:dyDescent="0.45">
      <c r="A108" s="224" t="s">
        <v>977</v>
      </c>
      <c r="B108" s="219" t="s">
        <v>978</v>
      </c>
      <c r="C108" s="255" t="s">
        <v>77</v>
      </c>
      <c r="D108" s="657">
        <v>2000</v>
      </c>
      <c r="E108" s="657">
        <v>0</v>
      </c>
      <c r="F108" s="657">
        <v>0</v>
      </c>
      <c r="G108" s="658">
        <v>0</v>
      </c>
      <c r="H108" s="933"/>
      <c r="I108" s="524" t="s">
        <v>71</v>
      </c>
      <c r="J108" s="159"/>
      <c r="K108" s="160"/>
      <c r="L108" s="160"/>
      <c r="M108" s="160"/>
      <c r="N108" s="160"/>
      <c r="O108" s="544"/>
      <c r="P108" s="544"/>
      <c r="Q108" s="544"/>
      <c r="R108" s="544"/>
      <c r="S108" s="544"/>
    </row>
    <row r="109" spans="1:19" s="148" customFormat="1" ht="14.25" x14ac:dyDescent="0.45">
      <c r="A109" s="510" t="s">
        <v>365</v>
      </c>
      <c r="B109" s="368" t="s">
        <v>321</v>
      </c>
      <c r="C109" s="659" t="s">
        <v>77</v>
      </c>
      <c r="D109" s="657">
        <v>406.80200000000002</v>
      </c>
      <c r="E109" s="657">
        <v>0</v>
      </c>
      <c r="F109" s="657">
        <v>0</v>
      </c>
      <c r="G109" s="658">
        <v>0</v>
      </c>
      <c r="H109" s="933"/>
      <c r="I109" s="524" t="s">
        <v>71</v>
      </c>
      <c r="J109" s="159"/>
      <c r="K109" s="160"/>
      <c r="L109" s="160"/>
      <c r="M109" s="160"/>
      <c r="N109" s="544"/>
      <c r="O109" s="544"/>
      <c r="P109" s="544"/>
      <c r="Q109" s="544"/>
      <c r="R109" s="774"/>
      <c r="S109" s="774"/>
    </row>
    <row r="110" spans="1:19" s="148" customFormat="1" ht="14.25" x14ac:dyDescent="0.45">
      <c r="A110" s="510" t="s">
        <v>957</v>
      </c>
      <c r="B110" s="368" t="s">
        <v>958</v>
      </c>
      <c r="C110" s="659" t="s">
        <v>177</v>
      </c>
      <c r="D110" s="657">
        <v>-2500</v>
      </c>
      <c r="E110" s="657">
        <v>0</v>
      </c>
      <c r="F110" s="657">
        <v>0</v>
      </c>
      <c r="G110" s="658">
        <v>0</v>
      </c>
      <c r="H110" s="933"/>
      <c r="I110" s="524" t="s">
        <v>71</v>
      </c>
      <c r="J110" s="159"/>
      <c r="K110" s="160"/>
      <c r="L110" s="160"/>
      <c r="M110" s="160"/>
      <c r="N110" s="160"/>
      <c r="O110" s="828"/>
      <c r="P110" s="828"/>
      <c r="Q110" s="828"/>
      <c r="R110" s="828"/>
      <c r="S110" s="828"/>
    </row>
    <row r="111" spans="1:19" s="148" customFormat="1" ht="14.25" x14ac:dyDescent="0.45">
      <c r="A111" s="510" t="s">
        <v>959</v>
      </c>
      <c r="B111" s="368" t="s">
        <v>960</v>
      </c>
      <c r="C111" s="659" t="s">
        <v>77</v>
      </c>
      <c r="D111" s="657">
        <v>300</v>
      </c>
      <c r="E111" s="657">
        <v>400</v>
      </c>
      <c r="F111" s="657">
        <v>0</v>
      </c>
      <c r="G111" s="658">
        <v>0</v>
      </c>
      <c r="H111" s="933"/>
      <c r="I111" s="524" t="s">
        <v>71</v>
      </c>
      <c r="J111" s="159"/>
      <c r="K111" s="160"/>
      <c r="L111" s="160"/>
      <c r="M111" s="160"/>
      <c r="N111" s="160"/>
      <c r="O111" s="828"/>
      <c r="P111" s="828"/>
      <c r="Q111" s="828"/>
      <c r="R111" s="828"/>
      <c r="S111" s="828"/>
    </row>
    <row r="112" spans="1:19" s="148" customFormat="1" ht="14.25" x14ac:dyDescent="0.45">
      <c r="A112" s="510" t="s">
        <v>959</v>
      </c>
      <c r="B112" s="368" t="s">
        <v>960</v>
      </c>
      <c r="C112" s="659" t="s">
        <v>177</v>
      </c>
      <c r="D112" s="657">
        <v>-300</v>
      </c>
      <c r="E112" s="657">
        <v>-700</v>
      </c>
      <c r="F112" s="657">
        <v>0</v>
      </c>
      <c r="G112" s="658">
        <v>0</v>
      </c>
      <c r="H112" s="933"/>
      <c r="I112" s="524" t="s">
        <v>71</v>
      </c>
      <c r="J112" s="159"/>
      <c r="K112" s="160"/>
      <c r="L112" s="160"/>
      <c r="M112" s="160"/>
      <c r="N112" s="160"/>
      <c r="O112" s="828"/>
      <c r="P112" s="828"/>
      <c r="Q112" s="828"/>
      <c r="R112" s="828"/>
      <c r="S112" s="828"/>
    </row>
    <row r="113" spans="1:19" s="148" customFormat="1" ht="14.25" x14ac:dyDescent="0.45">
      <c r="A113" s="510" t="s">
        <v>961</v>
      </c>
      <c r="B113" s="368" t="s">
        <v>962</v>
      </c>
      <c r="C113" s="659" t="s">
        <v>77</v>
      </c>
      <c r="D113" s="657">
        <v>300</v>
      </c>
      <c r="E113" s="657">
        <v>400</v>
      </c>
      <c r="F113" s="657">
        <v>0</v>
      </c>
      <c r="G113" s="658">
        <v>0</v>
      </c>
      <c r="H113" s="933"/>
      <c r="I113" s="524" t="s">
        <v>71</v>
      </c>
      <c r="J113" s="159"/>
      <c r="K113" s="160"/>
      <c r="L113" s="160"/>
      <c r="M113" s="160"/>
      <c r="N113" s="160"/>
      <c r="O113" s="828"/>
      <c r="P113" s="828"/>
      <c r="Q113" s="828"/>
      <c r="R113" s="828"/>
      <c r="S113" s="828"/>
    </row>
    <row r="114" spans="1:19" s="148" customFormat="1" ht="14.25" x14ac:dyDescent="0.45">
      <c r="A114" s="510" t="s">
        <v>961</v>
      </c>
      <c r="B114" s="368" t="s">
        <v>962</v>
      </c>
      <c r="C114" s="659" t="s">
        <v>177</v>
      </c>
      <c r="D114" s="657">
        <v>-300</v>
      </c>
      <c r="E114" s="657">
        <v>-700</v>
      </c>
      <c r="F114" s="657">
        <v>0</v>
      </c>
      <c r="G114" s="658">
        <v>0</v>
      </c>
      <c r="H114" s="933"/>
      <c r="I114" s="524" t="s">
        <v>71</v>
      </c>
      <c r="J114" s="159"/>
      <c r="K114" s="160"/>
      <c r="L114" s="160"/>
      <c r="M114" s="160"/>
      <c r="N114" s="160"/>
      <c r="O114" s="828"/>
      <c r="P114" s="828"/>
      <c r="Q114" s="828"/>
      <c r="R114" s="828"/>
      <c r="S114" s="828"/>
    </row>
    <row r="115" spans="1:19" s="28" customFormat="1" ht="14.65" thickBot="1" x14ac:dyDescent="0.5">
      <c r="A115" s="224"/>
      <c r="B115" s="621" t="s">
        <v>1076</v>
      </c>
      <c r="C115" s="255" t="s">
        <v>77</v>
      </c>
      <c r="D115" s="736">
        <v>6355</v>
      </c>
      <c r="E115" s="736">
        <v>3425</v>
      </c>
      <c r="F115" s="736">
        <v>3325</v>
      </c>
      <c r="G115" s="737">
        <v>200</v>
      </c>
      <c r="H115" s="933"/>
      <c r="I115" s="524" t="s">
        <v>71</v>
      </c>
      <c r="J115" s="159"/>
      <c r="K115" s="160"/>
      <c r="L115" s="160"/>
      <c r="M115" s="160"/>
      <c r="N115" s="160"/>
      <c r="O115" s="160"/>
      <c r="P115" s="160"/>
      <c r="Q115" s="544"/>
      <c r="R115" s="774"/>
      <c r="S115" s="774"/>
    </row>
    <row r="116" spans="1:19" s="28" customFormat="1" ht="16.8" customHeight="1" thickBot="1" x14ac:dyDescent="0.55000000000000004">
      <c r="A116" s="290" t="s">
        <v>276</v>
      </c>
      <c r="B116" s="222"/>
      <c r="C116" s="536" t="s">
        <v>77</v>
      </c>
      <c r="D116" s="575">
        <f>SUMIFS(D118:D322,$I118:$I322,"x",$C118:$C322,"A")-SUMIFS(D118,I118,"x",C118,"A")</f>
        <v>24204.540999999997</v>
      </c>
      <c r="E116" s="575">
        <f>SUMIFS(E118:E322,$I118:$I322,"x",$C118:$C322,"A")</f>
        <v>69562.793999999994</v>
      </c>
      <c r="F116" s="575">
        <f>SUMIFS(F118:F322,$I118:$I322,"x",$C118:$C322,"A")</f>
        <v>54503.551999999996</v>
      </c>
      <c r="G116" s="576">
        <f>SUMIFS(G118:G322,$I118:$I322,"x",$C118:$C322,"A")</f>
        <v>31482</v>
      </c>
      <c r="H116" s="932"/>
      <c r="I116" s="936"/>
      <c r="J116" s="937" t="s">
        <v>22</v>
      </c>
      <c r="K116" s="223"/>
      <c r="L116" s="223"/>
      <c r="M116" s="160"/>
      <c r="N116" s="160"/>
      <c r="O116" s="160"/>
      <c r="P116" s="160"/>
      <c r="Q116" s="544"/>
      <c r="R116" s="774"/>
      <c r="S116" s="774"/>
    </row>
    <row r="117" spans="1:19" s="28" customFormat="1" ht="16.149999999999999" thickBot="1" x14ac:dyDescent="0.55000000000000004">
      <c r="A117" s="291" t="s">
        <v>277</v>
      </c>
      <c r="B117" s="292"/>
      <c r="C117" s="537" t="s">
        <v>177</v>
      </c>
      <c r="D117" s="577">
        <f>SUMIFS(D118:D323,$I118:$I323,"x",$C118:$C323,"I")</f>
        <v>-900</v>
      </c>
      <c r="E117" s="577">
        <f>SUMIFS(E118:E323,$I118:$I323,"x",$C118:$C323,"I")</f>
        <v>-5545</v>
      </c>
      <c r="F117" s="577">
        <f>SUMIFS(F118:F323,$I118:$I323,"x",$C118:$C323,"I")</f>
        <v>-145</v>
      </c>
      <c r="G117" s="578">
        <f>SUMIFS(G118:G323,$I118:$I323,"x",$C118:$C323,"I")</f>
        <v>0</v>
      </c>
      <c r="H117" s="932"/>
      <c r="I117" s="936"/>
      <c r="J117" s="930"/>
      <c r="K117" s="931"/>
      <c r="L117" s="931"/>
      <c r="M117" s="160"/>
      <c r="N117" s="160"/>
      <c r="O117" s="160"/>
      <c r="P117" s="160"/>
      <c r="Q117" s="544"/>
      <c r="R117" s="774"/>
      <c r="S117" s="774"/>
    </row>
    <row r="118" spans="1:19" s="28" customFormat="1" ht="14.25" x14ac:dyDescent="0.45">
      <c r="A118" s="510"/>
      <c r="B118" s="368"/>
      <c r="C118" s="255"/>
      <c r="D118" s="256"/>
      <c r="E118" s="256"/>
      <c r="F118" s="256"/>
      <c r="G118" s="257"/>
      <c r="H118" s="938"/>
      <c r="I118" s="929"/>
      <c r="J118" s="934"/>
      <c r="K118" s="939"/>
      <c r="L118" s="939"/>
      <c r="M118" s="160"/>
      <c r="N118" s="544"/>
      <c r="O118" s="544"/>
      <c r="P118" s="544"/>
      <c r="Q118" s="544"/>
      <c r="R118" s="774"/>
      <c r="S118" s="774"/>
    </row>
    <row r="119" spans="1:19" s="28" customFormat="1" ht="14.25" x14ac:dyDescent="0.45">
      <c r="A119" s="453"/>
      <c r="B119" s="454"/>
      <c r="C119" s="538"/>
      <c r="D119" s="579"/>
      <c r="E119" s="579"/>
      <c r="F119" s="579"/>
      <c r="G119" s="579"/>
      <c r="H119" s="928"/>
      <c r="I119" s="929"/>
      <c r="J119" s="940"/>
      <c r="K119" s="941"/>
      <c r="L119" s="941"/>
      <c r="M119" s="160"/>
      <c r="N119" s="160"/>
      <c r="O119" s="160"/>
      <c r="P119" s="160"/>
      <c r="Q119" s="544"/>
      <c r="R119" s="774"/>
      <c r="S119" s="774"/>
    </row>
    <row r="120" spans="1:19" s="28" customFormat="1" ht="17.649999999999999" x14ac:dyDescent="0.5">
      <c r="A120" s="366" t="s">
        <v>197</v>
      </c>
      <c r="B120" s="367"/>
      <c r="C120" s="942"/>
      <c r="D120" s="942"/>
      <c r="E120" s="942"/>
      <c r="F120" s="942"/>
      <c r="G120" s="942"/>
      <c r="H120" s="943" t="s">
        <v>72</v>
      </c>
      <c r="I120" s="929"/>
      <c r="J120" s="944"/>
      <c r="K120" s="945"/>
      <c r="L120" s="945"/>
      <c r="M120" s="160"/>
      <c r="N120" s="160"/>
      <c r="O120" s="160"/>
      <c r="P120" s="160"/>
      <c r="Q120" s="544"/>
      <c r="R120" s="774"/>
      <c r="S120" s="774"/>
    </row>
    <row r="121" spans="1:19" s="28" customFormat="1" ht="14.25" x14ac:dyDescent="0.45">
      <c r="A121" s="861"/>
      <c r="B121" s="861"/>
      <c r="C121" s="862"/>
      <c r="D121" s="863"/>
      <c r="E121" s="863"/>
      <c r="F121" s="863"/>
      <c r="G121" s="863"/>
      <c r="H121" s="946"/>
      <c r="I121" s="947"/>
      <c r="J121" s="948"/>
      <c r="K121" s="949"/>
      <c r="L121" s="949"/>
      <c r="M121" s="949"/>
      <c r="N121" s="949"/>
      <c r="O121" s="860"/>
      <c r="P121" s="860"/>
      <c r="Q121" s="860"/>
      <c r="R121" s="860"/>
      <c r="S121" s="860"/>
    </row>
    <row r="122" spans="1:19" s="28" customFormat="1" ht="14.25" x14ac:dyDescent="0.45">
      <c r="A122" s="861" t="s">
        <v>1086</v>
      </c>
      <c r="B122" s="877" t="s">
        <v>1085</v>
      </c>
      <c r="C122" s="862" t="s">
        <v>77</v>
      </c>
      <c r="D122" s="479">
        <v>625</v>
      </c>
      <c r="E122" s="479">
        <v>1250</v>
      </c>
      <c r="F122" s="479">
        <v>1250</v>
      </c>
      <c r="G122" s="652">
        <v>1250</v>
      </c>
      <c r="H122" s="946"/>
      <c r="I122" s="947" t="s">
        <v>71</v>
      </c>
      <c r="J122" s="948"/>
      <c r="K122" s="949"/>
      <c r="L122" s="949"/>
      <c r="M122" s="949"/>
      <c r="N122" s="949"/>
      <c r="O122" s="860"/>
      <c r="P122" s="860"/>
      <c r="Q122" s="860"/>
      <c r="R122" s="860"/>
      <c r="S122" s="860"/>
    </row>
    <row r="123" spans="1:19" s="28" customFormat="1" ht="14.25" x14ac:dyDescent="0.45">
      <c r="A123" s="341"/>
      <c r="B123" s="342"/>
      <c r="C123" s="539"/>
      <c r="D123" s="580"/>
      <c r="E123" s="580"/>
      <c r="F123" s="580"/>
      <c r="G123" s="581"/>
      <c r="H123" s="928"/>
      <c r="I123" s="929"/>
      <c r="J123" s="944"/>
      <c r="K123" s="945"/>
      <c r="L123" s="945"/>
      <c r="M123" s="160"/>
      <c r="N123" s="160"/>
      <c r="O123" s="160"/>
      <c r="P123" s="160"/>
      <c r="Q123" s="544"/>
      <c r="R123" s="774"/>
      <c r="S123" s="774"/>
    </row>
    <row r="124" spans="1:19" s="28" customFormat="1" ht="15.75" x14ac:dyDescent="0.45">
      <c r="A124" s="950" t="s">
        <v>134</v>
      </c>
      <c r="B124" s="514"/>
      <c r="C124" s="540"/>
      <c r="D124" s="582"/>
      <c r="E124" s="582"/>
      <c r="F124" s="582"/>
      <c r="G124" s="583"/>
      <c r="H124" s="928"/>
      <c r="I124" s="929"/>
      <c r="J124" s="935"/>
      <c r="K124" s="951"/>
      <c r="L124" s="951"/>
      <c r="M124" s="160"/>
      <c r="N124" s="160"/>
      <c r="O124" s="160"/>
      <c r="P124" s="160"/>
      <c r="Q124" s="544"/>
      <c r="R124" s="774"/>
      <c r="S124" s="774"/>
    </row>
    <row r="125" spans="1:19" s="28" customFormat="1" ht="14.25" x14ac:dyDescent="0.45">
      <c r="A125" s="952" t="s">
        <v>150</v>
      </c>
      <c r="B125" s="743"/>
      <c r="C125" s="744"/>
      <c r="D125" s="745"/>
      <c r="E125" s="745"/>
      <c r="F125" s="745"/>
      <c r="G125" s="746"/>
      <c r="H125" s="953"/>
      <c r="I125" s="929"/>
      <c r="J125" s="954"/>
      <c r="K125" s="955"/>
      <c r="L125" s="955"/>
      <c r="M125" s="955"/>
      <c r="N125" s="955"/>
      <c r="O125" s="747"/>
      <c r="P125" s="747"/>
      <c r="Q125" s="747"/>
      <c r="R125" s="774"/>
      <c r="S125" s="774"/>
    </row>
    <row r="126" spans="1:19" s="28" customFormat="1" ht="14.25" x14ac:dyDescent="0.45">
      <c r="A126" s="455" t="s">
        <v>701</v>
      </c>
      <c r="B126" s="475" t="s">
        <v>702</v>
      </c>
      <c r="C126" s="255" t="s">
        <v>77</v>
      </c>
      <c r="D126" s="657">
        <v>1200</v>
      </c>
      <c r="E126" s="657">
        <v>0</v>
      </c>
      <c r="F126" s="657">
        <v>0</v>
      </c>
      <c r="G126" s="658">
        <v>0</v>
      </c>
      <c r="H126" s="933"/>
      <c r="I126" s="524"/>
      <c r="J126" s="159"/>
      <c r="K126" s="160"/>
      <c r="L126" s="160"/>
      <c r="M126" s="160"/>
      <c r="N126" s="160"/>
      <c r="O126" s="747"/>
      <c r="P126" s="747"/>
      <c r="Q126" s="747"/>
      <c r="R126" s="774"/>
      <c r="S126" s="774"/>
    </row>
    <row r="127" spans="1:19" s="28" customFormat="1" ht="14.25" x14ac:dyDescent="0.45">
      <c r="A127" s="455" t="s">
        <v>701</v>
      </c>
      <c r="B127" s="475" t="s">
        <v>702</v>
      </c>
      <c r="C127" s="255">
        <v>11</v>
      </c>
      <c r="D127" s="657">
        <v>36</v>
      </c>
      <c r="E127" s="657">
        <v>0</v>
      </c>
      <c r="F127" s="657">
        <v>0</v>
      </c>
      <c r="G127" s="658">
        <v>0</v>
      </c>
      <c r="H127" s="933"/>
      <c r="I127" s="524"/>
      <c r="J127" s="159"/>
      <c r="K127" s="160"/>
      <c r="L127" s="160"/>
      <c r="M127" s="160"/>
      <c r="N127" s="160"/>
      <c r="O127" s="544"/>
      <c r="P127" s="544"/>
      <c r="Q127" s="544"/>
      <c r="R127" s="774"/>
      <c r="S127" s="774"/>
    </row>
    <row r="128" spans="1:19" s="28" customFormat="1" ht="14.25" x14ac:dyDescent="0.45">
      <c r="A128" s="455" t="s">
        <v>703</v>
      </c>
      <c r="B128" s="475" t="s">
        <v>919</v>
      </c>
      <c r="C128" s="255" t="s">
        <v>77</v>
      </c>
      <c r="D128" s="657">
        <v>4577</v>
      </c>
      <c r="E128" s="657">
        <v>9154</v>
      </c>
      <c r="F128" s="657">
        <v>11442</v>
      </c>
      <c r="G128" s="658">
        <v>11442</v>
      </c>
      <c r="H128" s="933"/>
      <c r="I128" s="524"/>
      <c r="J128" s="159"/>
      <c r="K128" s="160"/>
      <c r="L128" s="160"/>
      <c r="M128" s="160"/>
      <c r="N128" s="160"/>
      <c r="O128" s="808"/>
      <c r="P128" s="808"/>
      <c r="Q128" s="808"/>
      <c r="R128" s="808"/>
      <c r="S128" s="808"/>
    </row>
    <row r="129" spans="1:19" s="28" customFormat="1" ht="14.25" x14ac:dyDescent="0.45">
      <c r="A129" s="455" t="s">
        <v>703</v>
      </c>
      <c r="B129" s="475" t="s">
        <v>919</v>
      </c>
      <c r="C129" s="255">
        <v>11</v>
      </c>
      <c r="D129" s="657">
        <v>275</v>
      </c>
      <c r="E129" s="657">
        <v>275</v>
      </c>
      <c r="F129" s="657">
        <v>275</v>
      </c>
      <c r="G129" s="658">
        <v>275</v>
      </c>
      <c r="H129" s="933"/>
      <c r="I129" s="524"/>
      <c r="J129" s="159"/>
      <c r="K129" s="160"/>
      <c r="L129" s="160"/>
      <c r="M129" s="160"/>
      <c r="N129" s="160"/>
      <c r="O129" s="817"/>
      <c r="P129" s="817"/>
      <c r="Q129" s="817"/>
      <c r="R129" s="817"/>
      <c r="S129" s="817"/>
    </row>
    <row r="130" spans="1:19" s="28" customFormat="1" ht="14.25" x14ac:dyDescent="0.45">
      <c r="A130" s="455" t="s">
        <v>703</v>
      </c>
      <c r="B130" s="475" t="s">
        <v>919</v>
      </c>
      <c r="C130" s="255">
        <v>12</v>
      </c>
      <c r="D130" s="657">
        <f>45+805+18</f>
        <v>868</v>
      </c>
      <c r="E130" s="657">
        <f>45+1380+33</f>
        <v>1458</v>
      </c>
      <c r="F130" s="657">
        <f t="shared" ref="F130:G130" si="0">45+1380+33</f>
        <v>1458</v>
      </c>
      <c r="G130" s="657">
        <f t="shared" si="0"/>
        <v>1458</v>
      </c>
      <c r="H130" s="933"/>
      <c r="I130" s="524"/>
      <c r="J130" s="159"/>
      <c r="K130" s="160"/>
      <c r="L130" s="160"/>
      <c r="M130" s="160"/>
      <c r="N130" s="160"/>
      <c r="O130" s="817"/>
      <c r="P130" s="817"/>
      <c r="Q130" s="817"/>
      <c r="R130" s="817"/>
      <c r="S130" s="817"/>
    </row>
    <row r="131" spans="1:19" s="28" customFormat="1" ht="14.25" x14ac:dyDescent="0.45">
      <c r="A131" s="455" t="s">
        <v>703</v>
      </c>
      <c r="B131" s="475" t="s">
        <v>919</v>
      </c>
      <c r="C131" s="255">
        <v>13</v>
      </c>
      <c r="D131" s="657">
        <v>70</v>
      </c>
      <c r="E131" s="657">
        <v>118</v>
      </c>
      <c r="F131" s="657">
        <v>118</v>
      </c>
      <c r="G131" s="657">
        <v>118</v>
      </c>
      <c r="H131" s="933"/>
      <c r="I131" s="524"/>
      <c r="J131" s="159"/>
      <c r="K131" s="160"/>
      <c r="L131" s="160"/>
      <c r="M131" s="160"/>
      <c r="N131" s="160"/>
      <c r="O131" s="817"/>
      <c r="P131" s="817"/>
      <c r="Q131" s="817"/>
      <c r="R131" s="817"/>
      <c r="S131" s="817"/>
    </row>
    <row r="132" spans="1:19" s="28" customFormat="1" ht="14.25" x14ac:dyDescent="0.45">
      <c r="A132" s="455" t="s">
        <v>703</v>
      </c>
      <c r="B132" s="475" t="s">
        <v>919</v>
      </c>
      <c r="C132" s="255">
        <v>42</v>
      </c>
      <c r="D132" s="657">
        <v>45</v>
      </c>
      <c r="E132" s="657">
        <v>45</v>
      </c>
      <c r="F132" s="657">
        <v>45</v>
      </c>
      <c r="G132" s="658">
        <v>45</v>
      </c>
      <c r="H132" s="933"/>
      <c r="I132" s="524"/>
      <c r="J132" s="159"/>
      <c r="K132" s="160"/>
      <c r="L132" s="160"/>
      <c r="M132" s="160"/>
      <c r="N132" s="160"/>
      <c r="O132" s="817"/>
      <c r="P132" s="817"/>
      <c r="Q132" s="817"/>
      <c r="R132" s="817"/>
      <c r="S132" s="817"/>
    </row>
    <row r="133" spans="1:19" s="28" customFormat="1" ht="14.25" x14ac:dyDescent="0.45">
      <c r="A133" s="455" t="s">
        <v>703</v>
      </c>
      <c r="B133" s="475" t="s">
        <v>920</v>
      </c>
      <c r="C133" s="255" t="s">
        <v>77</v>
      </c>
      <c r="D133" s="657">
        <v>-55779</v>
      </c>
      <c r="E133" s="657">
        <v>-21066</v>
      </c>
      <c r="F133" s="657">
        <v>-3202</v>
      </c>
      <c r="G133" s="658">
        <v>-3142</v>
      </c>
      <c r="H133" s="933"/>
      <c r="I133" s="524"/>
      <c r="J133" s="159"/>
      <c r="K133" s="160"/>
      <c r="L133" s="160"/>
      <c r="M133" s="956"/>
      <c r="N133" s="160"/>
      <c r="O133" s="544"/>
      <c r="P133" s="544"/>
      <c r="Q133" s="544"/>
      <c r="R133" s="544"/>
      <c r="S133" s="544"/>
    </row>
    <row r="134" spans="1:19" s="28" customFormat="1" ht="28.5" x14ac:dyDescent="0.45">
      <c r="A134" s="455" t="s">
        <v>703</v>
      </c>
      <c r="B134" s="475" t="s">
        <v>944</v>
      </c>
      <c r="C134" s="255" t="s">
        <v>77</v>
      </c>
      <c r="D134" s="657">
        <v>0</v>
      </c>
      <c r="E134" s="657">
        <v>0</v>
      </c>
      <c r="F134" s="657">
        <v>4830</v>
      </c>
      <c r="G134" s="658">
        <v>0</v>
      </c>
      <c r="H134" s="933"/>
      <c r="I134" s="524"/>
      <c r="J134" s="159"/>
      <c r="K134" s="160"/>
      <c r="L134" s="160"/>
      <c r="M134" s="956"/>
      <c r="N134" s="160"/>
      <c r="O134" s="544"/>
      <c r="P134" s="544"/>
      <c r="Q134" s="544"/>
      <c r="R134" s="544"/>
      <c r="S134" s="544"/>
    </row>
    <row r="135" spans="1:19" s="28" customFormat="1" ht="28.5" x14ac:dyDescent="0.45">
      <c r="A135" s="455" t="s">
        <v>703</v>
      </c>
      <c r="B135" s="475" t="s">
        <v>944</v>
      </c>
      <c r="C135" s="659" t="s">
        <v>77</v>
      </c>
      <c r="D135" s="657">
        <v>-3142</v>
      </c>
      <c r="E135" s="657">
        <v>0</v>
      </c>
      <c r="F135" s="657">
        <v>0</v>
      </c>
      <c r="G135" s="658">
        <v>3142</v>
      </c>
      <c r="H135" s="933"/>
      <c r="I135" s="524"/>
      <c r="J135" s="159"/>
      <c r="K135" s="160"/>
      <c r="L135" s="160"/>
      <c r="M135" s="956"/>
      <c r="N135" s="160"/>
      <c r="O135" s="544"/>
      <c r="P135" s="544"/>
      <c r="Q135" s="544"/>
      <c r="R135" s="544"/>
      <c r="S135" s="544"/>
    </row>
    <row r="136" spans="1:19" s="28" customFormat="1" ht="14.25" x14ac:dyDescent="0.45">
      <c r="A136" s="455" t="s">
        <v>703</v>
      </c>
      <c r="B136" s="475" t="s">
        <v>920</v>
      </c>
      <c r="C136" s="255">
        <v>11</v>
      </c>
      <c r="D136" s="657">
        <v>388</v>
      </c>
      <c r="E136" s="657">
        <v>0</v>
      </c>
      <c r="F136" s="657">
        <v>0</v>
      </c>
      <c r="G136" s="658">
        <v>0</v>
      </c>
      <c r="H136" s="933"/>
      <c r="I136" s="524"/>
      <c r="J136" s="159"/>
      <c r="K136" s="160"/>
      <c r="L136" s="160"/>
      <c r="M136" s="160"/>
      <c r="N136" s="160"/>
      <c r="O136" s="544"/>
      <c r="P136" s="544"/>
      <c r="Q136" s="544"/>
      <c r="R136" s="544"/>
      <c r="S136" s="544"/>
    </row>
    <row r="137" spans="1:19" s="28" customFormat="1" ht="14.25" x14ac:dyDescent="0.45">
      <c r="A137" s="455" t="s">
        <v>703</v>
      </c>
      <c r="B137" s="475" t="s">
        <v>920</v>
      </c>
      <c r="C137" s="255">
        <v>12</v>
      </c>
      <c r="D137" s="657">
        <f>65+616</f>
        <v>681</v>
      </c>
      <c r="E137" s="657">
        <v>1056</v>
      </c>
      <c r="F137" s="657">
        <f>440+210</f>
        <v>650</v>
      </c>
      <c r="G137" s="658">
        <v>360</v>
      </c>
      <c r="H137" s="933"/>
      <c r="I137" s="524"/>
      <c r="J137" s="159"/>
      <c r="K137" s="160"/>
      <c r="L137" s="160"/>
      <c r="M137" s="160"/>
      <c r="N137" s="160"/>
      <c r="O137" s="544"/>
      <c r="P137" s="544"/>
      <c r="Q137" s="544"/>
      <c r="R137" s="544"/>
      <c r="S137" s="544"/>
    </row>
    <row r="138" spans="1:19" s="28" customFormat="1" ht="14.25" x14ac:dyDescent="0.45">
      <c r="A138" s="455" t="s">
        <v>703</v>
      </c>
      <c r="B138" s="475" t="s">
        <v>920</v>
      </c>
      <c r="C138" s="255">
        <v>13</v>
      </c>
      <c r="D138" s="657">
        <v>53</v>
      </c>
      <c r="E138" s="657">
        <v>90</v>
      </c>
      <c r="F138" s="657">
        <f>38+52</f>
        <v>90</v>
      </c>
      <c r="G138" s="658">
        <v>90</v>
      </c>
      <c r="H138" s="933"/>
      <c r="I138" s="524"/>
      <c r="J138" s="159"/>
      <c r="K138" s="160"/>
      <c r="L138" s="160"/>
      <c r="M138" s="160"/>
      <c r="N138" s="160"/>
      <c r="O138" s="544"/>
      <c r="P138" s="544"/>
      <c r="Q138" s="544"/>
      <c r="R138" s="544"/>
      <c r="S138" s="544"/>
    </row>
    <row r="139" spans="1:19" s="28" customFormat="1" ht="14.25" x14ac:dyDescent="0.45">
      <c r="A139" s="455" t="s">
        <v>703</v>
      </c>
      <c r="B139" s="475" t="s">
        <v>920</v>
      </c>
      <c r="C139" s="255">
        <v>42</v>
      </c>
      <c r="D139" s="657">
        <v>65</v>
      </c>
      <c r="E139" s="657">
        <v>0</v>
      </c>
      <c r="F139" s="657">
        <v>0</v>
      </c>
      <c r="G139" s="658">
        <v>0</v>
      </c>
      <c r="H139" s="933"/>
      <c r="I139" s="524"/>
      <c r="J139" s="159"/>
      <c r="K139" s="160"/>
      <c r="L139" s="160"/>
      <c r="M139" s="160"/>
      <c r="N139" s="160"/>
      <c r="O139" s="544"/>
      <c r="P139" s="544"/>
      <c r="Q139" s="544"/>
      <c r="R139" s="544"/>
      <c r="S139" s="544"/>
    </row>
    <row r="140" spans="1:19" s="28" customFormat="1" ht="28.5" x14ac:dyDescent="0.45">
      <c r="A140" s="455" t="s">
        <v>1041</v>
      </c>
      <c r="B140" s="475" t="s">
        <v>1042</v>
      </c>
      <c r="C140" s="255" t="s">
        <v>77</v>
      </c>
      <c r="D140" s="657">
        <v>-54795.459000000003</v>
      </c>
      <c r="E140" s="657">
        <v>3450.7940000000017</v>
      </c>
      <c r="F140" s="657">
        <v>30129.552</v>
      </c>
      <c r="G140" s="658">
        <v>17022</v>
      </c>
      <c r="H140" s="933"/>
      <c r="I140" s="524" t="s">
        <v>71</v>
      </c>
      <c r="J140" s="159"/>
      <c r="K140" s="160"/>
      <c r="L140" s="160"/>
      <c r="M140" s="160"/>
      <c r="N140" s="160"/>
      <c r="O140" s="544"/>
      <c r="P140" s="544"/>
      <c r="Q140" s="544"/>
      <c r="R140" s="544"/>
      <c r="S140" s="544"/>
    </row>
    <row r="141" spans="1:19" s="28" customFormat="1" ht="28.5" x14ac:dyDescent="0.45">
      <c r="A141" s="455" t="s">
        <v>1041</v>
      </c>
      <c r="B141" s="475" t="s">
        <v>1042</v>
      </c>
      <c r="C141" s="255" t="s">
        <v>77</v>
      </c>
      <c r="D141" s="657">
        <v>0</v>
      </c>
      <c r="E141" s="657">
        <v>0</v>
      </c>
      <c r="F141" s="657">
        <v>4830</v>
      </c>
      <c r="G141" s="658">
        <v>0</v>
      </c>
      <c r="H141" s="933"/>
      <c r="I141" s="524" t="s">
        <v>71</v>
      </c>
      <c r="J141" s="159"/>
      <c r="K141" s="160"/>
      <c r="L141" s="160"/>
      <c r="M141" s="160"/>
      <c r="N141" s="160"/>
      <c r="O141" s="544"/>
      <c r="P141" s="544"/>
      <c r="Q141" s="544"/>
      <c r="R141" s="544"/>
      <c r="S141" s="544"/>
    </row>
    <row r="142" spans="1:19" s="28" customFormat="1" ht="28.5" x14ac:dyDescent="0.45">
      <c r="A142" s="455" t="s">
        <v>1041</v>
      </c>
      <c r="B142" s="475" t="s">
        <v>1042</v>
      </c>
      <c r="C142" s="255" t="s">
        <v>77</v>
      </c>
      <c r="D142" s="657">
        <v>374</v>
      </c>
      <c r="E142" s="657">
        <v>441</v>
      </c>
      <c r="F142" s="657">
        <v>546</v>
      </c>
      <c r="G142" s="658">
        <v>638</v>
      </c>
      <c r="H142" s="933"/>
      <c r="I142" s="524" t="s">
        <v>71</v>
      </c>
      <c r="J142" s="159"/>
      <c r="K142" s="160"/>
      <c r="L142" s="160"/>
      <c r="M142" s="160"/>
      <c r="N142" s="160"/>
      <c r="O142" s="544"/>
      <c r="P142" s="544"/>
      <c r="Q142" s="544"/>
      <c r="R142" s="544"/>
      <c r="S142" s="544"/>
    </row>
    <row r="143" spans="1:19" s="28" customFormat="1" ht="28.5" x14ac:dyDescent="0.45">
      <c r="A143" s="455" t="s">
        <v>1041</v>
      </c>
      <c r="B143" s="475" t="s">
        <v>1042</v>
      </c>
      <c r="C143" s="255">
        <v>12</v>
      </c>
      <c r="D143" s="657">
        <f>-56-672-1603</f>
        <v>-2331</v>
      </c>
      <c r="E143" s="657">
        <f>-120-948-526</f>
        <v>-1594</v>
      </c>
      <c r="F143" s="657">
        <f>-75-651+440</f>
        <v>-286</v>
      </c>
      <c r="G143" s="658">
        <f>-60-651</f>
        <v>-711</v>
      </c>
      <c r="H143" s="933"/>
      <c r="I143" s="524" t="s">
        <v>71</v>
      </c>
      <c r="J143" s="159"/>
      <c r="K143" s="160"/>
      <c r="L143" s="160"/>
      <c r="M143" s="160"/>
      <c r="N143" s="160"/>
      <c r="O143" s="544"/>
      <c r="P143" s="544"/>
      <c r="Q143" s="544"/>
      <c r="R143" s="544"/>
      <c r="S143" s="544"/>
    </row>
    <row r="144" spans="1:19" s="28" customFormat="1" ht="28.5" x14ac:dyDescent="0.45">
      <c r="A144" s="455" t="s">
        <v>1041</v>
      </c>
      <c r="B144" s="475" t="s">
        <v>1042</v>
      </c>
      <c r="C144" s="255">
        <v>13</v>
      </c>
      <c r="D144" s="657">
        <v>-359</v>
      </c>
      <c r="E144" s="657">
        <v>-386</v>
      </c>
      <c r="F144" s="657">
        <v>-358</v>
      </c>
      <c r="G144" s="658">
        <v>-358</v>
      </c>
      <c r="H144" s="933"/>
      <c r="I144" s="524" t="s">
        <v>71</v>
      </c>
      <c r="J144" s="159"/>
      <c r="K144" s="160"/>
      <c r="L144" s="160"/>
      <c r="M144" s="160"/>
      <c r="N144" s="160"/>
      <c r="O144" s="544"/>
      <c r="P144" s="544"/>
      <c r="Q144" s="544"/>
      <c r="R144" s="544"/>
      <c r="S144" s="544"/>
    </row>
    <row r="145" spans="1:19" s="28" customFormat="1" ht="28.5" x14ac:dyDescent="0.45">
      <c r="A145" s="455" t="s">
        <v>1041</v>
      </c>
      <c r="B145" s="475" t="s">
        <v>1042</v>
      </c>
      <c r="C145" s="255">
        <v>42</v>
      </c>
      <c r="D145" s="657">
        <v>73</v>
      </c>
      <c r="E145" s="657">
        <v>73</v>
      </c>
      <c r="F145" s="657">
        <v>90</v>
      </c>
      <c r="G145" s="658">
        <v>106</v>
      </c>
      <c r="H145" s="933"/>
      <c r="I145" s="524" t="s">
        <v>71</v>
      </c>
      <c r="J145" s="159"/>
      <c r="K145" s="160"/>
      <c r="L145" s="160"/>
      <c r="M145" s="160"/>
      <c r="N145" s="160"/>
      <c r="O145" s="544"/>
      <c r="P145" s="544"/>
      <c r="Q145" s="544"/>
      <c r="R145" s="544"/>
      <c r="S145" s="544"/>
    </row>
    <row r="146" spans="1:19" s="28" customFormat="1" ht="28.5" x14ac:dyDescent="0.45">
      <c r="A146" s="455" t="s">
        <v>1041</v>
      </c>
      <c r="B146" s="475" t="s">
        <v>1043</v>
      </c>
      <c r="C146" s="255" t="s">
        <v>77</v>
      </c>
      <c r="D146" s="657">
        <v>0</v>
      </c>
      <c r="E146" s="657">
        <v>0</v>
      </c>
      <c r="F146" s="657">
        <v>7847</v>
      </c>
      <c r="G146" s="658">
        <v>15695</v>
      </c>
      <c r="H146" s="933"/>
      <c r="I146" s="524"/>
      <c r="J146" s="159"/>
      <c r="K146" s="160"/>
      <c r="L146" s="160"/>
      <c r="M146" s="160"/>
      <c r="N146" s="160"/>
      <c r="O146" s="544"/>
      <c r="P146" s="544"/>
      <c r="Q146" s="544"/>
      <c r="R146" s="544"/>
      <c r="S146" s="544"/>
    </row>
    <row r="147" spans="1:19" s="28" customFormat="1" ht="28.5" x14ac:dyDescent="0.45">
      <c r="A147" s="455" t="s">
        <v>1041</v>
      </c>
      <c r="B147" s="475" t="s">
        <v>1043</v>
      </c>
      <c r="C147" s="255">
        <v>11</v>
      </c>
      <c r="D147" s="657">
        <v>0</v>
      </c>
      <c r="E147" s="657">
        <v>0</v>
      </c>
      <c r="F147" s="657">
        <v>393</v>
      </c>
      <c r="G147" s="658">
        <v>393</v>
      </c>
      <c r="H147" s="933"/>
      <c r="I147" s="524"/>
      <c r="J147" s="159"/>
      <c r="K147" s="160"/>
      <c r="L147" s="160"/>
      <c r="M147" s="160"/>
      <c r="N147" s="160"/>
      <c r="O147" s="544"/>
      <c r="P147" s="544"/>
      <c r="Q147" s="544"/>
      <c r="R147" s="544"/>
      <c r="S147" s="544"/>
    </row>
    <row r="148" spans="1:19" s="28" customFormat="1" ht="28.5" x14ac:dyDescent="0.45">
      <c r="A148" s="455" t="s">
        <v>1041</v>
      </c>
      <c r="B148" s="475" t="s">
        <v>1043</v>
      </c>
      <c r="C148" s="255">
        <v>12</v>
      </c>
      <c r="D148" s="657">
        <v>0</v>
      </c>
      <c r="E148" s="657">
        <v>0</v>
      </c>
      <c r="F148" s="657">
        <v>65</v>
      </c>
      <c r="G148" s="658">
        <f>65+360</f>
        <v>425</v>
      </c>
      <c r="H148" s="933"/>
      <c r="I148" s="524"/>
      <c r="J148" s="159"/>
      <c r="K148" s="160"/>
      <c r="L148" s="160"/>
      <c r="M148" s="160"/>
      <c r="N148" s="160"/>
      <c r="O148" s="544"/>
      <c r="P148" s="544"/>
      <c r="Q148" s="544"/>
      <c r="R148" s="544"/>
      <c r="S148" s="544"/>
    </row>
    <row r="149" spans="1:19" s="28" customFormat="1" ht="28.5" x14ac:dyDescent="0.45">
      <c r="A149" s="455" t="s">
        <v>1041</v>
      </c>
      <c r="B149" s="475" t="s">
        <v>1043</v>
      </c>
      <c r="C149" s="255">
        <v>13</v>
      </c>
      <c r="D149" s="657">
        <v>0</v>
      </c>
      <c r="E149" s="657">
        <v>0</v>
      </c>
      <c r="F149" s="657">
        <v>0</v>
      </c>
      <c r="G149" s="658">
        <v>90</v>
      </c>
      <c r="H149" s="933"/>
      <c r="I149" s="524"/>
      <c r="J149" s="159"/>
      <c r="K149" s="160"/>
      <c r="L149" s="160"/>
      <c r="M149" s="160"/>
      <c r="N149" s="160"/>
      <c r="O149" s="544"/>
      <c r="P149" s="544"/>
      <c r="Q149" s="544"/>
      <c r="R149" s="544"/>
      <c r="S149" s="544"/>
    </row>
    <row r="150" spans="1:19" s="28" customFormat="1" ht="28.5" x14ac:dyDescent="0.45">
      <c r="A150" s="455" t="s">
        <v>1041</v>
      </c>
      <c r="B150" s="475" t="s">
        <v>1043</v>
      </c>
      <c r="C150" s="255">
        <v>42</v>
      </c>
      <c r="D150" s="657">
        <v>0</v>
      </c>
      <c r="E150" s="657">
        <v>0</v>
      </c>
      <c r="F150" s="657">
        <v>65</v>
      </c>
      <c r="G150" s="658">
        <v>65</v>
      </c>
      <c r="H150" s="933"/>
      <c r="I150" s="524"/>
      <c r="J150" s="159"/>
      <c r="K150" s="160"/>
      <c r="L150" s="160"/>
      <c r="M150" s="160"/>
      <c r="N150" s="160"/>
      <c r="O150" s="544"/>
      <c r="P150" s="544"/>
      <c r="Q150" s="544"/>
      <c r="R150" s="544"/>
      <c r="S150" s="544"/>
    </row>
    <row r="151" spans="1:19" s="28" customFormat="1" ht="14.25" x14ac:dyDescent="0.45">
      <c r="A151" s="455" t="s">
        <v>704</v>
      </c>
      <c r="B151" s="475" t="s">
        <v>921</v>
      </c>
      <c r="C151" s="255" t="s">
        <v>77</v>
      </c>
      <c r="D151" s="657">
        <v>0</v>
      </c>
      <c r="E151" s="657">
        <v>0</v>
      </c>
      <c r="F151" s="657">
        <v>0</v>
      </c>
      <c r="G151" s="658">
        <v>0</v>
      </c>
      <c r="H151" s="933"/>
      <c r="I151" s="524" t="s">
        <v>71</v>
      </c>
      <c r="J151" s="159"/>
      <c r="K151" s="160"/>
      <c r="L151" s="160"/>
      <c r="M151" s="160"/>
      <c r="N151" s="160"/>
      <c r="O151" s="808"/>
      <c r="P151" s="808"/>
      <c r="Q151" s="808"/>
      <c r="R151" s="808"/>
      <c r="S151" s="808"/>
    </row>
    <row r="152" spans="1:19" s="28" customFormat="1" ht="14.25" x14ac:dyDescent="0.45">
      <c r="A152" s="455" t="s">
        <v>704</v>
      </c>
      <c r="B152" s="475" t="s">
        <v>921</v>
      </c>
      <c r="C152" s="255" t="s">
        <v>77</v>
      </c>
      <c r="D152" s="657">
        <v>182</v>
      </c>
      <c r="E152" s="657">
        <v>182</v>
      </c>
      <c r="F152" s="657">
        <v>182</v>
      </c>
      <c r="G152" s="658">
        <v>182</v>
      </c>
      <c r="H152" s="933"/>
      <c r="I152" s="524" t="s">
        <v>71</v>
      </c>
      <c r="J152" s="159"/>
      <c r="K152" s="160"/>
      <c r="L152" s="160"/>
      <c r="M152" s="160"/>
      <c r="N152" s="160"/>
      <c r="O152" s="817"/>
      <c r="P152" s="817"/>
      <c r="Q152" s="817"/>
      <c r="R152" s="817"/>
      <c r="S152" s="817"/>
    </row>
    <row r="153" spans="1:19" s="28" customFormat="1" ht="14.25" x14ac:dyDescent="0.45">
      <c r="A153" s="455" t="s">
        <v>704</v>
      </c>
      <c r="B153" s="475" t="s">
        <v>921</v>
      </c>
      <c r="C153" s="255">
        <v>12</v>
      </c>
      <c r="D153" s="657">
        <v>46</v>
      </c>
      <c r="E153" s="657">
        <v>46</v>
      </c>
      <c r="F153" s="657">
        <v>46</v>
      </c>
      <c r="G153" s="658">
        <f>46+25</f>
        <v>71</v>
      </c>
      <c r="H153" s="933"/>
      <c r="I153" s="524" t="s">
        <v>71</v>
      </c>
      <c r="J153" s="159"/>
      <c r="K153" s="160"/>
      <c r="L153" s="160"/>
      <c r="M153" s="160"/>
      <c r="N153" s="160"/>
      <c r="O153" s="817"/>
      <c r="P153" s="817"/>
      <c r="Q153" s="817"/>
      <c r="R153" s="817"/>
      <c r="S153" s="817"/>
    </row>
    <row r="154" spans="1:19" s="28" customFormat="1" ht="14.25" x14ac:dyDescent="0.45">
      <c r="A154" s="455" t="s">
        <v>704</v>
      </c>
      <c r="B154" s="475" t="s">
        <v>921</v>
      </c>
      <c r="C154" s="255">
        <v>13</v>
      </c>
      <c r="D154" s="657">
        <v>0</v>
      </c>
      <c r="E154" s="657">
        <v>0</v>
      </c>
      <c r="F154" s="657">
        <v>0</v>
      </c>
      <c r="G154" s="658">
        <v>13</v>
      </c>
      <c r="H154" s="933"/>
      <c r="I154" s="524" t="s">
        <v>71</v>
      </c>
      <c r="J154" s="159"/>
      <c r="K154" s="160"/>
      <c r="L154" s="160"/>
      <c r="M154" s="160"/>
      <c r="N154" s="160"/>
      <c r="O154" s="544"/>
      <c r="P154" s="544"/>
      <c r="Q154" s="544"/>
      <c r="R154" s="544"/>
      <c r="S154" s="544"/>
    </row>
    <row r="155" spans="1:19" s="28" customFormat="1" ht="14.25" x14ac:dyDescent="0.45">
      <c r="A155" s="455" t="s">
        <v>704</v>
      </c>
      <c r="B155" s="475" t="s">
        <v>921</v>
      </c>
      <c r="C155" s="255">
        <v>42</v>
      </c>
      <c r="D155" s="657">
        <v>46</v>
      </c>
      <c r="E155" s="657">
        <v>46</v>
      </c>
      <c r="F155" s="657">
        <v>46</v>
      </c>
      <c r="G155" s="658">
        <v>46</v>
      </c>
      <c r="H155" s="933"/>
      <c r="I155" s="524" t="s">
        <v>71</v>
      </c>
      <c r="J155" s="159"/>
      <c r="K155" s="160"/>
      <c r="L155" s="160"/>
      <c r="M155" s="160"/>
      <c r="N155" s="160"/>
      <c r="O155" s="817"/>
      <c r="P155" s="817"/>
      <c r="Q155" s="817"/>
      <c r="R155" s="817"/>
      <c r="S155" s="817"/>
    </row>
    <row r="156" spans="1:19" s="28" customFormat="1" ht="14.25" x14ac:dyDescent="0.45">
      <c r="A156" s="455" t="s">
        <v>704</v>
      </c>
      <c r="B156" s="475" t="s">
        <v>922</v>
      </c>
      <c r="C156" s="255" t="s">
        <v>77</v>
      </c>
      <c r="D156" s="657">
        <v>0</v>
      </c>
      <c r="E156" s="657">
        <v>0</v>
      </c>
      <c r="F156" s="657">
        <v>0</v>
      </c>
      <c r="G156" s="658">
        <v>0</v>
      </c>
      <c r="H156" s="933"/>
      <c r="I156" s="524"/>
      <c r="J156" s="159"/>
      <c r="K156" s="160"/>
      <c r="L156" s="160"/>
      <c r="M156" s="160"/>
      <c r="N156" s="160"/>
      <c r="O156" s="817"/>
      <c r="P156" s="817"/>
      <c r="Q156" s="817"/>
      <c r="R156" s="817"/>
      <c r="S156" s="817"/>
    </row>
    <row r="157" spans="1:19" s="28" customFormat="1" ht="14.25" x14ac:dyDescent="0.45">
      <c r="A157" s="455" t="s">
        <v>704</v>
      </c>
      <c r="B157" s="475" t="s">
        <v>922</v>
      </c>
      <c r="C157" s="255">
        <v>11</v>
      </c>
      <c r="D157" s="657">
        <v>47</v>
      </c>
      <c r="E157" s="657">
        <v>47</v>
      </c>
      <c r="F157" s="657">
        <v>47</v>
      </c>
      <c r="G157" s="658">
        <v>47</v>
      </c>
      <c r="H157" s="933"/>
      <c r="I157" s="524"/>
      <c r="J157" s="159"/>
      <c r="K157" s="160"/>
      <c r="L157" s="160"/>
      <c r="M157" s="160"/>
      <c r="N157" s="160"/>
      <c r="O157" s="817"/>
      <c r="P157" s="817"/>
      <c r="Q157" s="817"/>
      <c r="R157" s="817"/>
      <c r="S157" s="817"/>
    </row>
    <row r="158" spans="1:19" s="28" customFormat="1" ht="14.25" x14ac:dyDescent="0.45">
      <c r="A158" s="455" t="s">
        <v>704</v>
      </c>
      <c r="B158" s="475" t="s">
        <v>922</v>
      </c>
      <c r="C158" s="255">
        <v>12</v>
      </c>
      <c r="D158" s="657">
        <v>12</v>
      </c>
      <c r="E158" s="657">
        <v>12</v>
      </c>
      <c r="F158" s="657">
        <v>12</v>
      </c>
      <c r="G158" s="658">
        <v>12</v>
      </c>
      <c r="H158" s="933"/>
      <c r="I158" s="524"/>
      <c r="J158" s="159"/>
      <c r="K158" s="160"/>
      <c r="L158" s="160"/>
      <c r="M158" s="160"/>
      <c r="N158" s="160"/>
      <c r="O158" s="817"/>
      <c r="P158" s="817"/>
      <c r="Q158" s="817"/>
      <c r="R158" s="817"/>
      <c r="S158" s="817"/>
    </row>
    <row r="159" spans="1:19" s="28" customFormat="1" ht="14.25" x14ac:dyDescent="0.45">
      <c r="A159" s="455" t="s">
        <v>704</v>
      </c>
      <c r="B159" s="475" t="s">
        <v>922</v>
      </c>
      <c r="C159" s="255">
        <v>42</v>
      </c>
      <c r="D159" s="657">
        <v>12</v>
      </c>
      <c r="E159" s="657">
        <v>12</v>
      </c>
      <c r="F159" s="657">
        <v>12</v>
      </c>
      <c r="G159" s="658">
        <v>12</v>
      </c>
      <c r="H159" s="933"/>
      <c r="I159" s="524"/>
      <c r="J159" s="159"/>
      <c r="K159" s="160"/>
      <c r="L159" s="160"/>
      <c r="M159" s="160"/>
      <c r="N159" s="160"/>
      <c r="O159" s="817"/>
      <c r="P159" s="817"/>
      <c r="Q159" s="817"/>
      <c r="R159" s="817"/>
      <c r="S159" s="817"/>
    </row>
    <row r="160" spans="1:19" s="28" customFormat="1" ht="14.25" x14ac:dyDescent="0.45">
      <c r="A160" s="455" t="s">
        <v>705</v>
      </c>
      <c r="B160" s="475" t="s">
        <v>706</v>
      </c>
      <c r="C160" s="255" t="s">
        <v>77</v>
      </c>
      <c r="D160" s="657">
        <v>9791</v>
      </c>
      <c r="E160" s="657">
        <v>-26099</v>
      </c>
      <c r="F160" s="657">
        <v>-13188</v>
      </c>
      <c r="G160" s="658">
        <v>-12329</v>
      </c>
      <c r="H160" s="933"/>
      <c r="I160" s="524" t="s">
        <v>71</v>
      </c>
      <c r="J160" s="159"/>
      <c r="K160" s="160"/>
      <c r="L160" s="160"/>
      <c r="M160" s="160"/>
      <c r="N160" s="160"/>
      <c r="O160" s="808"/>
      <c r="P160" s="808"/>
      <c r="Q160" s="808"/>
      <c r="R160" s="808"/>
      <c r="S160" s="808"/>
    </row>
    <row r="161" spans="1:19" s="28" customFormat="1" ht="14.25" x14ac:dyDescent="0.45">
      <c r="A161" s="455" t="s">
        <v>705</v>
      </c>
      <c r="B161" s="475" t="s">
        <v>706</v>
      </c>
      <c r="C161" s="255" t="s">
        <v>77</v>
      </c>
      <c r="D161" s="657">
        <v>55</v>
      </c>
      <c r="E161" s="657">
        <v>0</v>
      </c>
      <c r="F161" s="657">
        <v>0</v>
      </c>
      <c r="G161" s="658">
        <v>0</v>
      </c>
      <c r="H161" s="933"/>
      <c r="I161" s="524" t="s">
        <v>71</v>
      </c>
      <c r="J161" s="159"/>
      <c r="K161" s="160"/>
      <c r="L161" s="160"/>
      <c r="M161" s="160"/>
      <c r="N161" s="160"/>
      <c r="O161" s="808"/>
      <c r="P161" s="808"/>
      <c r="Q161" s="808"/>
      <c r="R161" s="808"/>
      <c r="S161" s="808"/>
    </row>
    <row r="162" spans="1:19" s="28" customFormat="1" ht="14.25" x14ac:dyDescent="0.45">
      <c r="A162" s="455" t="s">
        <v>705</v>
      </c>
      <c r="B162" s="475" t="s">
        <v>706</v>
      </c>
      <c r="C162" s="255">
        <v>12</v>
      </c>
      <c r="D162" s="657">
        <v>10</v>
      </c>
      <c r="E162" s="657">
        <v>0</v>
      </c>
      <c r="F162" s="657">
        <v>0</v>
      </c>
      <c r="G162" s="658">
        <v>0</v>
      </c>
      <c r="H162" s="933"/>
      <c r="I162" s="524" t="s">
        <v>71</v>
      </c>
      <c r="J162" s="159"/>
      <c r="K162" s="160"/>
      <c r="L162" s="160"/>
      <c r="M162" s="160"/>
      <c r="N162" s="160"/>
      <c r="O162" s="808"/>
      <c r="P162" s="808"/>
      <c r="Q162" s="808"/>
      <c r="R162" s="808"/>
      <c r="S162" s="808"/>
    </row>
    <row r="163" spans="1:19" s="28" customFormat="1" ht="28.5" x14ac:dyDescent="0.45">
      <c r="A163" s="455" t="s">
        <v>707</v>
      </c>
      <c r="B163" s="475" t="s">
        <v>708</v>
      </c>
      <c r="C163" s="255" t="s">
        <v>77</v>
      </c>
      <c r="D163" s="657">
        <v>4400</v>
      </c>
      <c r="E163" s="657">
        <v>4400</v>
      </c>
      <c r="F163" s="657">
        <v>0</v>
      </c>
      <c r="G163" s="658">
        <v>0</v>
      </c>
      <c r="H163" s="933"/>
      <c r="I163" s="524" t="s">
        <v>71</v>
      </c>
      <c r="J163" s="159"/>
      <c r="K163" s="160"/>
      <c r="L163" s="160"/>
      <c r="M163" s="160"/>
      <c r="N163" s="160"/>
      <c r="O163" s="808"/>
      <c r="P163" s="808"/>
      <c r="Q163" s="808"/>
      <c r="R163" s="808"/>
      <c r="S163" s="808"/>
    </row>
    <row r="164" spans="1:19" s="28" customFormat="1" ht="28.5" x14ac:dyDescent="0.45">
      <c r="A164" s="455" t="s">
        <v>707</v>
      </c>
      <c r="B164" s="475" t="s">
        <v>708</v>
      </c>
      <c r="C164" s="255" t="s">
        <v>77</v>
      </c>
      <c r="D164" s="657">
        <v>132</v>
      </c>
      <c r="E164" s="657">
        <v>132</v>
      </c>
      <c r="F164" s="657">
        <v>0</v>
      </c>
      <c r="G164" s="658">
        <v>0</v>
      </c>
      <c r="H164" s="933"/>
      <c r="I164" s="524" t="s">
        <v>71</v>
      </c>
      <c r="J164" s="159"/>
      <c r="K164" s="160"/>
      <c r="L164" s="160"/>
      <c r="M164" s="160"/>
      <c r="N164" s="160"/>
      <c r="O164" s="808"/>
      <c r="P164" s="808"/>
      <c r="Q164" s="808"/>
      <c r="R164" s="808"/>
      <c r="S164" s="808"/>
    </row>
    <row r="165" spans="1:19" s="28" customFormat="1" ht="28.5" x14ac:dyDescent="0.45">
      <c r="A165" s="455" t="s">
        <v>707</v>
      </c>
      <c r="B165" s="475" t="s">
        <v>708</v>
      </c>
      <c r="C165" s="255">
        <v>12</v>
      </c>
      <c r="D165" s="657">
        <f>22+420</f>
        <v>442</v>
      </c>
      <c r="E165" s="657">
        <f>22+70</f>
        <v>92</v>
      </c>
      <c r="F165" s="657">
        <v>0</v>
      </c>
      <c r="G165" s="658">
        <v>0</v>
      </c>
      <c r="H165" s="933"/>
      <c r="I165" s="524" t="s">
        <v>71</v>
      </c>
      <c r="J165" s="159"/>
      <c r="K165" s="160"/>
      <c r="L165" s="160"/>
      <c r="M165" s="160"/>
      <c r="N165" s="160"/>
      <c r="O165" s="808"/>
      <c r="P165" s="808"/>
      <c r="Q165" s="808"/>
      <c r="R165" s="808"/>
      <c r="S165" s="808"/>
    </row>
    <row r="166" spans="1:19" s="28" customFormat="1" ht="28.5" x14ac:dyDescent="0.45">
      <c r="A166" s="455" t="s">
        <v>707</v>
      </c>
      <c r="B166" s="475" t="s">
        <v>708</v>
      </c>
      <c r="C166" s="255">
        <v>42</v>
      </c>
      <c r="D166" s="657">
        <v>22</v>
      </c>
      <c r="E166" s="657">
        <v>22</v>
      </c>
      <c r="F166" s="657">
        <v>0</v>
      </c>
      <c r="G166" s="658">
        <v>0</v>
      </c>
      <c r="H166" s="933"/>
      <c r="I166" s="524" t="s">
        <v>71</v>
      </c>
      <c r="J166" s="159"/>
      <c r="K166" s="160"/>
      <c r="L166" s="160"/>
      <c r="M166" s="160"/>
      <c r="N166" s="160"/>
      <c r="O166" s="808"/>
      <c r="P166" s="808"/>
      <c r="Q166" s="808"/>
      <c r="R166" s="808"/>
      <c r="S166" s="808"/>
    </row>
    <row r="167" spans="1:19" s="28" customFormat="1" ht="28.5" x14ac:dyDescent="0.45">
      <c r="A167" s="455" t="s">
        <v>709</v>
      </c>
      <c r="B167" s="475" t="s">
        <v>710</v>
      </c>
      <c r="C167" s="255" t="s">
        <v>77</v>
      </c>
      <c r="D167" s="657">
        <v>0</v>
      </c>
      <c r="E167" s="657">
        <v>0</v>
      </c>
      <c r="F167" s="657">
        <v>2100</v>
      </c>
      <c r="G167" s="658">
        <v>0</v>
      </c>
      <c r="H167" s="933"/>
      <c r="I167" s="524" t="s">
        <v>71</v>
      </c>
      <c r="J167" s="159"/>
      <c r="K167" s="160"/>
      <c r="L167" s="160"/>
      <c r="M167" s="160"/>
      <c r="N167" s="160"/>
      <c r="O167" s="808"/>
      <c r="P167" s="808"/>
      <c r="Q167" s="808"/>
      <c r="R167" s="808"/>
      <c r="S167" s="808"/>
    </row>
    <row r="168" spans="1:19" s="28" customFormat="1" ht="28.5" x14ac:dyDescent="0.45">
      <c r="A168" s="455" t="s">
        <v>709</v>
      </c>
      <c r="B168" s="475" t="s">
        <v>710</v>
      </c>
      <c r="C168" s="255" t="s">
        <v>77</v>
      </c>
      <c r="D168" s="657">
        <v>0</v>
      </c>
      <c r="E168" s="657">
        <v>0</v>
      </c>
      <c r="F168" s="657">
        <v>63</v>
      </c>
      <c r="G168" s="658">
        <v>0</v>
      </c>
      <c r="H168" s="933"/>
      <c r="I168" s="524" t="s">
        <v>71</v>
      </c>
      <c r="J168" s="159"/>
      <c r="K168" s="160"/>
      <c r="L168" s="160"/>
      <c r="M168" s="160"/>
      <c r="N168" s="160"/>
      <c r="O168" s="808"/>
      <c r="P168" s="808"/>
      <c r="Q168" s="808"/>
      <c r="R168" s="808"/>
      <c r="S168" s="808"/>
    </row>
    <row r="169" spans="1:19" s="28" customFormat="1" ht="28.5" x14ac:dyDescent="0.45">
      <c r="A169" s="455" t="s">
        <v>709</v>
      </c>
      <c r="B169" s="475" t="s">
        <v>710</v>
      </c>
      <c r="C169" s="255">
        <v>12</v>
      </c>
      <c r="D169" s="657">
        <v>0</v>
      </c>
      <c r="E169" s="657">
        <v>0</v>
      </c>
      <c r="F169" s="657">
        <v>10</v>
      </c>
      <c r="G169" s="658">
        <v>0</v>
      </c>
      <c r="H169" s="933"/>
      <c r="I169" s="524" t="s">
        <v>71</v>
      </c>
      <c r="J169" s="159"/>
      <c r="K169" s="160"/>
      <c r="L169" s="160"/>
      <c r="M169" s="160"/>
      <c r="N169" s="160"/>
      <c r="O169" s="808"/>
      <c r="P169" s="808"/>
      <c r="Q169" s="808"/>
      <c r="R169" s="808"/>
      <c r="S169" s="808"/>
    </row>
    <row r="170" spans="1:19" s="28" customFormat="1" ht="28.5" x14ac:dyDescent="0.45">
      <c r="A170" s="455" t="s">
        <v>709</v>
      </c>
      <c r="B170" s="475" t="s">
        <v>710</v>
      </c>
      <c r="C170" s="255">
        <v>42</v>
      </c>
      <c r="D170" s="657">
        <v>0</v>
      </c>
      <c r="E170" s="657">
        <v>0</v>
      </c>
      <c r="F170" s="657">
        <v>11</v>
      </c>
      <c r="G170" s="658">
        <v>0</v>
      </c>
      <c r="H170" s="933"/>
      <c r="I170" s="524" t="s">
        <v>71</v>
      </c>
      <c r="J170" s="159"/>
      <c r="K170" s="160"/>
      <c r="L170" s="160"/>
      <c r="M170" s="160"/>
      <c r="N170" s="160"/>
      <c r="O170" s="808"/>
      <c r="P170" s="808"/>
      <c r="Q170" s="808"/>
      <c r="R170" s="808"/>
      <c r="S170" s="808"/>
    </row>
    <row r="171" spans="1:19" s="28" customFormat="1" ht="14.25" x14ac:dyDescent="0.45">
      <c r="A171" s="455" t="s">
        <v>711</v>
      </c>
      <c r="B171" s="475" t="s">
        <v>712</v>
      </c>
      <c r="C171" s="255" t="s">
        <v>77</v>
      </c>
      <c r="D171" s="657">
        <v>1795</v>
      </c>
      <c r="E171" s="657">
        <v>0</v>
      </c>
      <c r="F171" s="657">
        <v>0</v>
      </c>
      <c r="G171" s="658">
        <v>0</v>
      </c>
      <c r="H171" s="933"/>
      <c r="I171" s="524" t="s">
        <v>71</v>
      </c>
      <c r="J171" s="159"/>
      <c r="K171" s="160"/>
      <c r="L171" s="160"/>
      <c r="M171" s="160"/>
      <c r="N171" s="160"/>
      <c r="O171" s="160"/>
      <c r="P171" s="160"/>
      <c r="Q171" s="544"/>
      <c r="R171" s="774"/>
      <c r="S171" s="774"/>
    </row>
    <row r="172" spans="1:19" s="28" customFormat="1" ht="14.25" x14ac:dyDescent="0.45">
      <c r="A172" s="455" t="s">
        <v>711</v>
      </c>
      <c r="B172" s="475" t="s">
        <v>712</v>
      </c>
      <c r="C172" s="255" t="s">
        <v>77</v>
      </c>
      <c r="D172" s="657">
        <v>54</v>
      </c>
      <c r="E172" s="657">
        <v>0</v>
      </c>
      <c r="F172" s="657">
        <v>0</v>
      </c>
      <c r="G172" s="658">
        <v>0</v>
      </c>
      <c r="H172" s="933"/>
      <c r="I172" s="524" t="s">
        <v>71</v>
      </c>
      <c r="J172" s="159"/>
      <c r="K172" s="160"/>
      <c r="L172" s="160"/>
      <c r="M172" s="160"/>
      <c r="N172" s="160"/>
      <c r="O172" s="808"/>
      <c r="P172" s="808"/>
      <c r="Q172" s="808"/>
      <c r="R172" s="808"/>
      <c r="S172" s="808"/>
    </row>
    <row r="173" spans="1:19" s="28" customFormat="1" ht="14.25" x14ac:dyDescent="0.45">
      <c r="A173" s="455" t="s">
        <v>713</v>
      </c>
      <c r="B173" s="475" t="s">
        <v>714</v>
      </c>
      <c r="C173" s="255" t="s">
        <v>77</v>
      </c>
      <c r="D173" s="657">
        <v>1150</v>
      </c>
      <c r="E173" s="657">
        <v>0</v>
      </c>
      <c r="F173" s="657">
        <v>0</v>
      </c>
      <c r="G173" s="658">
        <v>0</v>
      </c>
      <c r="H173" s="933"/>
      <c r="I173" s="524"/>
      <c r="J173" s="159"/>
      <c r="K173" s="160"/>
      <c r="L173" s="160"/>
      <c r="M173" s="160"/>
      <c r="N173" s="160"/>
      <c r="O173" s="808"/>
      <c r="P173" s="808"/>
      <c r="Q173" s="808"/>
      <c r="R173" s="808"/>
      <c r="S173" s="808"/>
    </row>
    <row r="174" spans="1:19" s="28" customFormat="1" ht="14.25" x14ac:dyDescent="0.45">
      <c r="A174" s="455" t="s">
        <v>713</v>
      </c>
      <c r="B174" s="475" t="s">
        <v>714</v>
      </c>
      <c r="C174" s="255">
        <v>11</v>
      </c>
      <c r="D174" s="657">
        <v>35</v>
      </c>
      <c r="E174" s="657">
        <v>0</v>
      </c>
      <c r="F174" s="657">
        <v>0</v>
      </c>
      <c r="G174" s="658">
        <v>0</v>
      </c>
      <c r="H174" s="933"/>
      <c r="I174" s="524"/>
      <c r="J174" s="159"/>
      <c r="K174" s="160"/>
      <c r="L174" s="160"/>
      <c r="M174" s="160"/>
      <c r="N174" s="160"/>
      <c r="O174" s="808"/>
      <c r="P174" s="808"/>
      <c r="Q174" s="808"/>
      <c r="R174" s="808"/>
      <c r="S174" s="808"/>
    </row>
    <row r="175" spans="1:19" s="28" customFormat="1" ht="14.25" x14ac:dyDescent="0.45">
      <c r="A175" s="455" t="s">
        <v>713</v>
      </c>
      <c r="B175" s="475" t="s">
        <v>714</v>
      </c>
      <c r="C175" s="255">
        <v>23</v>
      </c>
      <c r="D175" s="657">
        <v>0</v>
      </c>
      <c r="E175" s="657">
        <v>0</v>
      </c>
      <c r="F175" s="657">
        <v>0</v>
      </c>
      <c r="G175" s="658">
        <v>0</v>
      </c>
      <c r="H175" s="933"/>
      <c r="I175" s="524"/>
      <c r="J175" s="159"/>
      <c r="K175" s="160"/>
      <c r="L175" s="160"/>
      <c r="M175" s="160"/>
      <c r="N175" s="160"/>
      <c r="O175" s="747"/>
      <c r="P175" s="747"/>
      <c r="Q175" s="747"/>
      <c r="R175" s="774"/>
      <c r="S175" s="774"/>
    </row>
    <row r="176" spans="1:19" s="28" customFormat="1" ht="14.25" x14ac:dyDescent="0.45">
      <c r="A176" s="494"/>
      <c r="B176" s="515"/>
      <c r="C176" s="255"/>
      <c r="D176" s="512"/>
      <c r="E176" s="512"/>
      <c r="F176" s="512"/>
      <c r="G176" s="513"/>
      <c r="H176" s="933"/>
      <c r="I176" s="524"/>
      <c r="J176" s="159"/>
      <c r="K176" s="160"/>
      <c r="L176" s="160"/>
      <c r="M176" s="160"/>
      <c r="N176" s="160"/>
      <c r="O176" s="808"/>
      <c r="P176" s="808"/>
      <c r="Q176" s="808"/>
      <c r="R176" s="808"/>
      <c r="S176" s="808"/>
    </row>
    <row r="177" spans="1:19" s="28" customFormat="1" ht="14.25" x14ac:dyDescent="0.45">
      <c r="A177" s="959" t="s">
        <v>151</v>
      </c>
      <c r="B177" s="475"/>
      <c r="C177" s="255"/>
      <c r="D177" s="256"/>
      <c r="E177" s="256"/>
      <c r="F177" s="256"/>
      <c r="G177" s="257"/>
      <c r="H177" s="933"/>
      <c r="I177" s="524"/>
      <c r="J177" s="159"/>
      <c r="K177" s="160"/>
      <c r="L177" s="160"/>
      <c r="M177" s="160"/>
      <c r="N177" s="160"/>
      <c r="O177" s="160"/>
      <c r="P177" s="160"/>
      <c r="Q177" s="544"/>
      <c r="R177" s="774"/>
      <c r="S177" s="774"/>
    </row>
    <row r="178" spans="1:19" s="28" customFormat="1" ht="14.25" x14ac:dyDescent="0.45">
      <c r="A178" s="455" t="s">
        <v>715</v>
      </c>
      <c r="B178" s="475" t="s">
        <v>716</v>
      </c>
      <c r="C178" s="255" t="s">
        <v>77</v>
      </c>
      <c r="D178" s="657">
        <v>15000</v>
      </c>
      <c r="E178" s="657">
        <v>15000</v>
      </c>
      <c r="F178" s="657">
        <v>15000</v>
      </c>
      <c r="G178" s="658">
        <v>15000</v>
      </c>
      <c r="H178" s="933"/>
      <c r="I178" s="524"/>
      <c r="J178" s="159"/>
      <c r="K178" s="160"/>
      <c r="L178" s="160"/>
      <c r="M178" s="160"/>
      <c r="N178" s="160"/>
      <c r="O178" s="160"/>
      <c r="P178" s="160"/>
      <c r="Q178" s="544"/>
      <c r="R178" s="774"/>
      <c r="S178" s="774"/>
    </row>
    <row r="179" spans="1:19" s="28" customFormat="1" ht="14.25" x14ac:dyDescent="0.45">
      <c r="A179" s="455" t="s">
        <v>715</v>
      </c>
      <c r="B179" s="475" t="s">
        <v>716</v>
      </c>
      <c r="C179" s="255">
        <v>11</v>
      </c>
      <c r="D179" s="657">
        <v>450</v>
      </c>
      <c r="E179" s="657">
        <v>450</v>
      </c>
      <c r="F179" s="657">
        <v>450</v>
      </c>
      <c r="G179" s="658">
        <v>450</v>
      </c>
      <c r="H179" s="933"/>
      <c r="I179" s="524"/>
      <c r="J179" s="159"/>
      <c r="K179" s="160"/>
      <c r="L179" s="160"/>
      <c r="M179" s="160"/>
      <c r="N179" s="160"/>
      <c r="O179" s="160"/>
      <c r="P179" s="160"/>
      <c r="Q179" s="544"/>
      <c r="R179" s="774"/>
      <c r="S179" s="774"/>
    </row>
    <row r="180" spans="1:19" s="28" customFormat="1" ht="14.25" x14ac:dyDescent="0.45">
      <c r="A180" s="455" t="s">
        <v>1060</v>
      </c>
      <c r="B180" s="475" t="s">
        <v>716</v>
      </c>
      <c r="C180" s="255" t="s">
        <v>77</v>
      </c>
      <c r="D180" s="657">
        <v>15000</v>
      </c>
      <c r="E180" s="657">
        <v>0</v>
      </c>
      <c r="F180" s="657">
        <v>0</v>
      </c>
      <c r="G180" s="658">
        <v>0</v>
      </c>
      <c r="H180" s="933"/>
      <c r="I180" s="524" t="s">
        <v>71</v>
      </c>
      <c r="J180" s="159"/>
      <c r="K180" s="160"/>
      <c r="L180" s="160"/>
      <c r="M180" s="160"/>
      <c r="N180" s="160"/>
      <c r="O180" s="854"/>
      <c r="P180" s="854"/>
      <c r="Q180" s="854"/>
      <c r="R180" s="854"/>
      <c r="S180" s="854"/>
    </row>
    <row r="181" spans="1:19" s="28" customFormat="1" ht="14.25" x14ac:dyDescent="0.45">
      <c r="A181" s="455" t="s">
        <v>1060</v>
      </c>
      <c r="B181" s="475" t="s">
        <v>716</v>
      </c>
      <c r="C181" s="255" t="s">
        <v>77</v>
      </c>
      <c r="D181" s="657">
        <v>450</v>
      </c>
      <c r="E181" s="657">
        <v>0</v>
      </c>
      <c r="F181" s="657">
        <v>0</v>
      </c>
      <c r="G181" s="658">
        <v>0</v>
      </c>
      <c r="H181" s="933"/>
      <c r="I181" s="524" t="s">
        <v>71</v>
      </c>
      <c r="J181" s="159"/>
      <c r="K181" s="160"/>
      <c r="L181" s="160"/>
      <c r="M181" s="160"/>
      <c r="N181" s="160"/>
      <c r="O181" s="854"/>
      <c r="P181" s="854"/>
      <c r="Q181" s="854"/>
      <c r="R181" s="854"/>
      <c r="S181" s="854"/>
    </row>
    <row r="182" spans="1:19" s="28" customFormat="1" ht="28.5" x14ac:dyDescent="0.45">
      <c r="A182" s="455" t="s">
        <v>717</v>
      </c>
      <c r="B182" s="475" t="s">
        <v>718</v>
      </c>
      <c r="C182" s="255" t="s">
        <v>77</v>
      </c>
      <c r="D182" s="657">
        <v>0</v>
      </c>
      <c r="E182" s="657">
        <v>2000</v>
      </c>
      <c r="F182" s="657">
        <v>2000</v>
      </c>
      <c r="G182" s="658">
        <v>2000</v>
      </c>
      <c r="H182" s="933"/>
      <c r="I182" s="524"/>
      <c r="J182" s="159"/>
      <c r="K182" s="160"/>
      <c r="L182" s="160"/>
      <c r="M182" s="160"/>
      <c r="N182" s="544"/>
      <c r="O182" s="544"/>
      <c r="P182" s="544"/>
      <c r="Q182" s="544"/>
      <c r="R182" s="774"/>
      <c r="S182" s="774"/>
    </row>
    <row r="183" spans="1:19" s="28" customFormat="1" ht="28.5" x14ac:dyDescent="0.45">
      <c r="A183" s="455" t="s">
        <v>717</v>
      </c>
      <c r="B183" s="475" t="s">
        <v>718</v>
      </c>
      <c r="C183" s="255">
        <v>11</v>
      </c>
      <c r="D183" s="657">
        <v>0</v>
      </c>
      <c r="E183" s="657">
        <v>60</v>
      </c>
      <c r="F183" s="657">
        <v>60</v>
      </c>
      <c r="G183" s="658">
        <v>60</v>
      </c>
      <c r="H183" s="933"/>
      <c r="I183" s="524"/>
      <c r="J183" s="159"/>
      <c r="K183" s="160"/>
      <c r="L183" s="160"/>
      <c r="M183" s="160"/>
      <c r="N183" s="544"/>
      <c r="O183" s="544"/>
      <c r="P183" s="544"/>
      <c r="Q183" s="544"/>
      <c r="R183" s="774"/>
      <c r="S183" s="774"/>
    </row>
    <row r="184" spans="1:19" s="28" customFormat="1" ht="14.25" x14ac:dyDescent="0.45">
      <c r="A184" s="455" t="s">
        <v>719</v>
      </c>
      <c r="B184" s="475" t="s">
        <v>720</v>
      </c>
      <c r="C184" s="255" t="s">
        <v>77</v>
      </c>
      <c r="D184" s="657">
        <v>0</v>
      </c>
      <c r="E184" s="657">
        <v>3650</v>
      </c>
      <c r="F184" s="657">
        <v>0</v>
      </c>
      <c r="G184" s="658">
        <v>0</v>
      </c>
      <c r="H184" s="933"/>
      <c r="I184" s="524" t="s">
        <v>71</v>
      </c>
      <c r="J184" s="159"/>
      <c r="K184" s="160"/>
      <c r="L184" s="160"/>
      <c r="M184" s="160"/>
      <c r="N184" s="160"/>
      <c r="O184" s="160"/>
      <c r="P184" s="160"/>
      <c r="Q184" s="544"/>
      <c r="R184" s="774"/>
      <c r="S184" s="774"/>
    </row>
    <row r="185" spans="1:19" s="28" customFormat="1" ht="14.25" x14ac:dyDescent="0.45">
      <c r="A185" s="455" t="s">
        <v>719</v>
      </c>
      <c r="B185" s="475" t="s">
        <v>720</v>
      </c>
      <c r="C185" s="255" t="s">
        <v>77</v>
      </c>
      <c r="D185" s="657"/>
      <c r="E185" s="657">
        <v>109</v>
      </c>
      <c r="F185" s="657"/>
      <c r="G185" s="658"/>
      <c r="H185" s="933"/>
      <c r="I185" s="524" t="s">
        <v>71</v>
      </c>
      <c r="J185" s="159"/>
      <c r="K185" s="160"/>
      <c r="L185" s="160"/>
      <c r="M185" s="160"/>
      <c r="N185" s="160"/>
      <c r="O185" s="160"/>
      <c r="P185" s="160"/>
      <c r="Q185" s="544"/>
      <c r="R185" s="774"/>
      <c r="S185" s="774"/>
    </row>
    <row r="186" spans="1:19" s="28" customFormat="1" ht="14.25" x14ac:dyDescent="0.45">
      <c r="A186" s="455" t="s">
        <v>721</v>
      </c>
      <c r="B186" s="475" t="s">
        <v>722</v>
      </c>
      <c r="C186" s="255" t="s">
        <v>77</v>
      </c>
      <c r="D186" s="657">
        <v>500</v>
      </c>
      <c r="E186" s="657">
        <v>4500</v>
      </c>
      <c r="F186" s="657">
        <v>0</v>
      </c>
      <c r="G186" s="658">
        <v>0</v>
      </c>
      <c r="H186" s="933"/>
      <c r="I186" s="524"/>
      <c r="J186" s="159"/>
      <c r="K186" s="160"/>
      <c r="L186" s="160"/>
      <c r="M186" s="160"/>
      <c r="N186" s="160"/>
      <c r="O186" s="160"/>
      <c r="P186" s="160"/>
      <c r="Q186" s="544"/>
      <c r="R186" s="774"/>
      <c r="S186" s="774"/>
    </row>
    <row r="187" spans="1:19" s="28" customFormat="1" ht="14.25" x14ac:dyDescent="0.45">
      <c r="A187" s="455" t="s">
        <v>721</v>
      </c>
      <c r="B187" s="475" t="s">
        <v>722</v>
      </c>
      <c r="C187" s="255">
        <v>11</v>
      </c>
      <c r="D187" s="657">
        <v>75</v>
      </c>
      <c r="E187" s="657">
        <v>75</v>
      </c>
      <c r="F187" s="657">
        <v>0</v>
      </c>
      <c r="G187" s="658">
        <v>0</v>
      </c>
      <c r="H187" s="933"/>
      <c r="I187" s="524"/>
      <c r="J187" s="159"/>
      <c r="K187" s="160"/>
      <c r="L187" s="160"/>
      <c r="M187" s="160"/>
      <c r="N187" s="160"/>
      <c r="O187" s="160"/>
      <c r="P187" s="160"/>
      <c r="Q187" s="544"/>
      <c r="R187" s="774"/>
      <c r="S187" s="774"/>
    </row>
    <row r="188" spans="1:19" s="28" customFormat="1" ht="14.25" x14ac:dyDescent="0.45">
      <c r="A188" s="455" t="s">
        <v>721</v>
      </c>
      <c r="B188" s="475" t="s">
        <v>723</v>
      </c>
      <c r="C188" s="255" t="s">
        <v>77</v>
      </c>
      <c r="D188" s="657">
        <v>500</v>
      </c>
      <c r="E188" s="657">
        <v>9730</v>
      </c>
      <c r="F188" s="657">
        <v>0</v>
      </c>
      <c r="G188" s="658">
        <v>0</v>
      </c>
      <c r="H188" s="933"/>
      <c r="I188" s="524"/>
      <c r="J188" s="159"/>
      <c r="K188" s="160"/>
      <c r="L188" s="160"/>
      <c r="M188" s="160"/>
      <c r="N188" s="160"/>
      <c r="O188" s="160"/>
      <c r="P188" s="160"/>
      <c r="Q188" s="544"/>
      <c r="R188" s="774"/>
      <c r="S188" s="774"/>
    </row>
    <row r="189" spans="1:19" s="28" customFormat="1" ht="14.25" x14ac:dyDescent="0.45">
      <c r="A189" s="455" t="s">
        <v>721</v>
      </c>
      <c r="B189" s="475" t="s">
        <v>723</v>
      </c>
      <c r="C189" s="255">
        <v>11</v>
      </c>
      <c r="D189" s="657">
        <v>154</v>
      </c>
      <c r="E189" s="657">
        <v>154</v>
      </c>
      <c r="F189" s="657"/>
      <c r="G189" s="658"/>
      <c r="H189" s="933"/>
      <c r="I189" s="524"/>
      <c r="J189" s="159"/>
      <c r="K189" s="160"/>
      <c r="L189" s="160"/>
      <c r="M189" s="160"/>
      <c r="N189" s="160"/>
      <c r="O189" s="160"/>
      <c r="P189" s="160"/>
      <c r="Q189" s="544"/>
      <c r="R189" s="774"/>
      <c r="S189" s="774"/>
    </row>
    <row r="190" spans="1:19" s="28" customFormat="1" ht="14.25" x14ac:dyDescent="0.45">
      <c r="A190" s="455" t="s">
        <v>724</v>
      </c>
      <c r="B190" s="475" t="s">
        <v>725</v>
      </c>
      <c r="C190" s="255" t="s">
        <v>77</v>
      </c>
      <c r="D190" s="657">
        <v>15000</v>
      </c>
      <c r="E190" s="657">
        <v>5000</v>
      </c>
      <c r="F190" s="657">
        <v>0</v>
      </c>
      <c r="G190" s="658">
        <v>0</v>
      </c>
      <c r="H190" s="933"/>
      <c r="I190" s="524" t="s">
        <v>71</v>
      </c>
      <c r="J190" s="159"/>
      <c r="K190" s="160"/>
      <c r="L190" s="160"/>
      <c r="M190" s="160"/>
      <c r="N190" s="160"/>
      <c r="O190" s="160"/>
      <c r="P190" s="160"/>
      <c r="Q190" s="544"/>
      <c r="R190" s="774"/>
      <c r="S190" s="774"/>
    </row>
    <row r="191" spans="1:19" s="28" customFormat="1" ht="14.25" x14ac:dyDescent="0.45">
      <c r="A191" s="455" t="s">
        <v>724</v>
      </c>
      <c r="B191" s="475" t="s">
        <v>725</v>
      </c>
      <c r="C191" s="255" t="s">
        <v>77</v>
      </c>
      <c r="D191" s="657">
        <v>300</v>
      </c>
      <c r="E191" s="657">
        <v>300</v>
      </c>
      <c r="F191" s="657">
        <v>0</v>
      </c>
      <c r="G191" s="658">
        <v>0</v>
      </c>
      <c r="H191" s="933"/>
      <c r="I191" s="524" t="s">
        <v>71</v>
      </c>
      <c r="J191" s="159"/>
      <c r="K191" s="160"/>
      <c r="L191" s="160"/>
      <c r="M191" s="160"/>
      <c r="N191" s="160"/>
      <c r="O191" s="160"/>
      <c r="P191" s="160"/>
      <c r="Q191" s="544"/>
      <c r="R191" s="774"/>
      <c r="S191" s="774"/>
    </row>
    <row r="192" spans="1:19" s="28" customFormat="1" ht="14.25" x14ac:dyDescent="0.45">
      <c r="A192" s="318"/>
      <c r="B192" s="515"/>
      <c r="C192" s="255"/>
      <c r="D192" s="256"/>
      <c r="E192" s="256"/>
      <c r="F192" s="256"/>
      <c r="G192" s="257"/>
      <c r="H192" s="933"/>
      <c r="I192" s="524"/>
      <c r="J192" s="159"/>
      <c r="K192" s="160"/>
      <c r="L192" s="160"/>
      <c r="M192" s="160"/>
      <c r="N192" s="160"/>
      <c r="O192" s="160"/>
      <c r="P192" s="160"/>
      <c r="Q192" s="544"/>
      <c r="R192" s="774"/>
      <c r="S192" s="774"/>
    </row>
    <row r="193" spans="1:19" s="28" customFormat="1" ht="14.25" x14ac:dyDescent="0.45">
      <c r="A193" s="959" t="s">
        <v>149</v>
      </c>
      <c r="B193" s="475"/>
      <c r="C193" s="255"/>
      <c r="D193" s="256"/>
      <c r="E193" s="256"/>
      <c r="F193" s="256"/>
      <c r="G193" s="257"/>
      <c r="H193" s="933"/>
      <c r="I193" s="524"/>
      <c r="J193" s="159"/>
      <c r="K193" s="160"/>
      <c r="L193" s="160"/>
      <c r="M193" s="160"/>
      <c r="N193" s="160"/>
      <c r="O193" s="160"/>
      <c r="P193" s="160"/>
      <c r="Q193" s="544"/>
      <c r="R193" s="774"/>
      <c r="S193" s="774"/>
    </row>
    <row r="194" spans="1:19" s="28" customFormat="1" ht="28.5" x14ac:dyDescent="0.45">
      <c r="A194" s="455" t="s">
        <v>726</v>
      </c>
      <c r="B194" s="475" t="s">
        <v>727</v>
      </c>
      <c r="C194" s="255" t="s">
        <v>77</v>
      </c>
      <c r="D194" s="657">
        <v>3163</v>
      </c>
      <c r="E194" s="657">
        <v>3163</v>
      </c>
      <c r="F194" s="657">
        <v>0</v>
      </c>
      <c r="G194" s="658">
        <v>0</v>
      </c>
      <c r="H194" s="933"/>
      <c r="I194" s="524" t="s">
        <v>71</v>
      </c>
      <c r="J194" s="159"/>
      <c r="K194" s="160"/>
      <c r="L194" s="160"/>
      <c r="M194" s="160"/>
      <c r="N194" s="160"/>
      <c r="O194" s="160"/>
      <c r="P194" s="160"/>
      <c r="Q194" s="544"/>
      <c r="R194" s="774"/>
      <c r="S194" s="774"/>
    </row>
    <row r="195" spans="1:19" s="28" customFormat="1" ht="28.5" x14ac:dyDescent="0.45">
      <c r="A195" s="455" t="s">
        <v>726</v>
      </c>
      <c r="B195" s="475" t="s">
        <v>727</v>
      </c>
      <c r="C195" s="255" t="s">
        <v>77</v>
      </c>
      <c r="D195" s="657">
        <v>95</v>
      </c>
      <c r="E195" s="657">
        <v>95</v>
      </c>
      <c r="F195" s="657">
        <v>0</v>
      </c>
      <c r="G195" s="658">
        <v>0</v>
      </c>
      <c r="H195" s="933"/>
      <c r="I195" s="524" t="s">
        <v>71</v>
      </c>
      <c r="J195" s="159"/>
      <c r="K195" s="160"/>
      <c r="L195" s="160"/>
      <c r="N195" s="544"/>
      <c r="O195" s="544"/>
      <c r="P195" s="544"/>
      <c r="Q195" s="544"/>
      <c r="R195" s="774"/>
      <c r="S195" s="774"/>
    </row>
    <row r="196" spans="1:19" s="28" customFormat="1" ht="28.5" x14ac:dyDescent="0.45">
      <c r="A196" s="455" t="s">
        <v>726</v>
      </c>
      <c r="B196" s="475" t="s">
        <v>727</v>
      </c>
      <c r="C196" s="255">
        <v>12</v>
      </c>
      <c r="D196" s="657">
        <v>27</v>
      </c>
      <c r="E196" s="657">
        <v>27</v>
      </c>
      <c r="F196" s="657">
        <v>27</v>
      </c>
      <c r="G196" s="658">
        <v>27</v>
      </c>
      <c r="H196" s="933"/>
      <c r="I196" s="524" t="s">
        <v>71</v>
      </c>
      <c r="J196" s="159"/>
      <c r="K196" s="160"/>
      <c r="L196" s="160"/>
      <c r="M196" s="160"/>
      <c r="N196" s="160"/>
      <c r="O196" s="160"/>
      <c r="P196" s="160"/>
      <c r="Q196" s="544"/>
      <c r="R196" s="774"/>
      <c r="S196" s="774"/>
    </row>
    <row r="197" spans="1:19" s="28" customFormat="1" ht="14.25" x14ac:dyDescent="0.45">
      <c r="A197" s="455" t="s">
        <v>728</v>
      </c>
      <c r="B197" s="475" t="s">
        <v>729</v>
      </c>
      <c r="C197" s="255" t="s">
        <v>77</v>
      </c>
      <c r="D197" s="657">
        <v>100</v>
      </c>
      <c r="E197" s="657">
        <v>100</v>
      </c>
      <c r="F197" s="657">
        <v>100</v>
      </c>
      <c r="G197" s="658">
        <v>100</v>
      </c>
      <c r="H197" s="933"/>
      <c r="I197" s="524"/>
      <c r="J197" s="159"/>
      <c r="K197" s="160"/>
      <c r="L197" s="160"/>
      <c r="N197" s="160"/>
      <c r="O197" s="160"/>
      <c r="P197" s="160"/>
      <c r="Q197" s="544"/>
      <c r="R197" s="774"/>
      <c r="S197" s="774"/>
    </row>
    <row r="198" spans="1:19" s="28" customFormat="1" ht="14.25" x14ac:dyDescent="0.45">
      <c r="A198" s="455" t="s">
        <v>728</v>
      </c>
      <c r="B198" s="475" t="s">
        <v>729</v>
      </c>
      <c r="C198" s="255">
        <v>11</v>
      </c>
      <c r="D198" s="657">
        <v>3</v>
      </c>
      <c r="E198" s="657">
        <v>3</v>
      </c>
      <c r="F198" s="657">
        <v>3</v>
      </c>
      <c r="G198" s="658">
        <v>3</v>
      </c>
      <c r="H198" s="933"/>
      <c r="I198" s="524"/>
      <c r="J198" s="159"/>
      <c r="K198" s="160"/>
      <c r="L198" s="160"/>
      <c r="M198" s="160"/>
      <c r="N198" s="544"/>
      <c r="O198" s="544"/>
      <c r="P198" s="544"/>
      <c r="Q198" s="544"/>
      <c r="R198" s="774"/>
      <c r="S198" s="774"/>
    </row>
    <row r="199" spans="1:19" s="28" customFormat="1" ht="28.5" x14ac:dyDescent="0.45">
      <c r="A199" s="455" t="s">
        <v>730</v>
      </c>
      <c r="B199" s="475" t="s">
        <v>731</v>
      </c>
      <c r="C199" s="255" t="s">
        <v>77</v>
      </c>
      <c r="D199" s="657">
        <v>200</v>
      </c>
      <c r="E199" s="657">
        <v>200</v>
      </c>
      <c r="F199" s="657">
        <v>200</v>
      </c>
      <c r="G199" s="658">
        <v>200</v>
      </c>
      <c r="H199" s="933"/>
      <c r="I199" s="524" t="s">
        <v>71</v>
      </c>
      <c r="J199" s="159"/>
      <c r="K199" s="160"/>
      <c r="L199" s="160"/>
      <c r="M199" s="160"/>
      <c r="N199" s="160"/>
      <c r="O199" s="544"/>
      <c r="P199" s="544"/>
      <c r="Q199" s="544"/>
      <c r="R199" s="774"/>
      <c r="S199" s="774"/>
    </row>
    <row r="200" spans="1:19" s="28" customFormat="1" ht="28.5" x14ac:dyDescent="0.45">
      <c r="A200" s="455" t="s">
        <v>730</v>
      </c>
      <c r="B200" s="475" t="s">
        <v>731</v>
      </c>
      <c r="C200" s="255">
        <v>11</v>
      </c>
      <c r="D200" s="657">
        <f>6+100</f>
        <v>106</v>
      </c>
      <c r="E200" s="657">
        <f t="shared" ref="E200:G200" si="1">6+100</f>
        <v>106</v>
      </c>
      <c r="F200" s="657">
        <f t="shared" si="1"/>
        <v>106</v>
      </c>
      <c r="G200" s="658">
        <f t="shared" si="1"/>
        <v>106</v>
      </c>
      <c r="H200" s="933"/>
      <c r="I200" s="524" t="s">
        <v>71</v>
      </c>
      <c r="J200" s="159"/>
      <c r="K200" s="160"/>
      <c r="L200" s="160"/>
      <c r="M200" s="160"/>
      <c r="N200" s="160"/>
      <c r="O200" s="544"/>
      <c r="P200" s="544"/>
      <c r="Q200" s="544"/>
      <c r="R200" s="774"/>
      <c r="S200" s="774"/>
    </row>
    <row r="201" spans="1:19" s="28" customFormat="1" ht="28.5" x14ac:dyDescent="0.45">
      <c r="A201" s="455" t="s">
        <v>730</v>
      </c>
      <c r="B201" s="475" t="s">
        <v>731</v>
      </c>
      <c r="C201" s="255">
        <v>12</v>
      </c>
      <c r="D201" s="657">
        <v>60</v>
      </c>
      <c r="E201" s="657">
        <v>60</v>
      </c>
      <c r="F201" s="657">
        <v>60</v>
      </c>
      <c r="G201" s="658">
        <v>60</v>
      </c>
      <c r="H201" s="933"/>
      <c r="I201" s="524" t="s">
        <v>71</v>
      </c>
      <c r="J201" s="159"/>
      <c r="K201" s="160"/>
      <c r="L201" s="160"/>
      <c r="M201" s="160"/>
      <c r="N201" s="160"/>
      <c r="O201" s="544"/>
      <c r="P201" s="544"/>
      <c r="Q201" s="544"/>
      <c r="R201" s="774"/>
      <c r="S201" s="774"/>
    </row>
    <row r="202" spans="1:19" s="28" customFormat="1" ht="28.5" x14ac:dyDescent="0.45">
      <c r="A202" s="455" t="s">
        <v>732</v>
      </c>
      <c r="B202" s="475" t="s">
        <v>733</v>
      </c>
      <c r="C202" s="255" t="s">
        <v>77</v>
      </c>
      <c r="D202" s="657">
        <v>500</v>
      </c>
      <c r="E202" s="657">
        <v>500</v>
      </c>
      <c r="F202" s="657">
        <v>500</v>
      </c>
      <c r="G202" s="658">
        <v>500</v>
      </c>
      <c r="H202" s="933"/>
      <c r="I202" s="524"/>
      <c r="J202" s="159"/>
      <c r="K202" s="160"/>
      <c r="L202" s="160"/>
      <c r="M202" s="160"/>
      <c r="N202" s="160"/>
      <c r="O202" s="160"/>
      <c r="P202" s="160"/>
      <c r="Q202" s="544"/>
      <c r="R202" s="774"/>
      <c r="S202" s="774"/>
    </row>
    <row r="203" spans="1:19" s="28" customFormat="1" ht="28.5" x14ac:dyDescent="0.45">
      <c r="A203" s="455" t="s">
        <v>732</v>
      </c>
      <c r="B203" s="475" t="s">
        <v>733</v>
      </c>
      <c r="C203" s="255">
        <v>11</v>
      </c>
      <c r="D203" s="657">
        <v>15</v>
      </c>
      <c r="E203" s="657">
        <v>15</v>
      </c>
      <c r="F203" s="657">
        <v>15</v>
      </c>
      <c r="G203" s="658">
        <v>15</v>
      </c>
      <c r="H203" s="933"/>
      <c r="I203" s="524"/>
      <c r="J203" s="159"/>
      <c r="K203" s="160"/>
      <c r="L203" s="160"/>
      <c r="M203" s="160"/>
      <c r="N203" s="160"/>
      <c r="O203" s="160"/>
      <c r="P203" s="160"/>
      <c r="Q203" s="544"/>
      <c r="R203" s="774"/>
      <c r="S203" s="774"/>
    </row>
    <row r="204" spans="1:19" s="28" customFormat="1" ht="28.5" x14ac:dyDescent="0.45">
      <c r="A204" s="455" t="s">
        <v>732</v>
      </c>
      <c r="B204" s="475" t="s">
        <v>733</v>
      </c>
      <c r="C204" s="255">
        <v>12</v>
      </c>
      <c r="D204" s="657">
        <v>0</v>
      </c>
      <c r="E204" s="657">
        <v>30</v>
      </c>
      <c r="F204" s="657">
        <v>60</v>
      </c>
      <c r="G204" s="658">
        <v>60</v>
      </c>
      <c r="H204" s="933"/>
      <c r="I204" s="524"/>
      <c r="J204" s="159"/>
      <c r="K204" s="160"/>
      <c r="L204" s="160"/>
      <c r="M204" s="160"/>
      <c r="N204" s="160"/>
      <c r="O204" s="160"/>
      <c r="P204" s="160"/>
      <c r="Q204" s="544"/>
      <c r="R204" s="774"/>
      <c r="S204" s="774"/>
    </row>
    <row r="205" spans="1:19" s="28" customFormat="1" ht="14.25" x14ac:dyDescent="0.45">
      <c r="A205" s="455" t="s">
        <v>734</v>
      </c>
      <c r="B205" s="475" t="s">
        <v>735</v>
      </c>
      <c r="C205" s="255" t="s">
        <v>77</v>
      </c>
      <c r="D205" s="657">
        <v>0</v>
      </c>
      <c r="E205" s="657">
        <v>825</v>
      </c>
      <c r="F205" s="657">
        <v>0</v>
      </c>
      <c r="G205" s="658">
        <v>0</v>
      </c>
      <c r="H205" s="933"/>
      <c r="I205" s="524" t="s">
        <v>71</v>
      </c>
      <c r="J205" s="159"/>
      <c r="K205" s="160"/>
      <c r="L205" s="160"/>
      <c r="M205" s="160"/>
      <c r="N205" s="160"/>
      <c r="O205" s="160"/>
      <c r="P205" s="160"/>
      <c r="Q205" s="544"/>
      <c r="R205" s="774"/>
      <c r="S205" s="774"/>
    </row>
    <row r="206" spans="1:19" s="28" customFormat="1" ht="14.25" x14ac:dyDescent="0.45">
      <c r="A206" s="455" t="s">
        <v>734</v>
      </c>
      <c r="B206" s="475" t="s">
        <v>735</v>
      </c>
      <c r="C206" s="255" t="s">
        <v>77</v>
      </c>
      <c r="D206" s="657">
        <v>0</v>
      </c>
      <c r="E206" s="657">
        <v>25</v>
      </c>
      <c r="F206" s="657">
        <v>0</v>
      </c>
      <c r="G206" s="658">
        <v>0</v>
      </c>
      <c r="H206" s="933"/>
      <c r="I206" s="524" t="s">
        <v>71</v>
      </c>
      <c r="J206" s="159"/>
      <c r="K206" s="160"/>
      <c r="L206" s="160"/>
      <c r="M206" s="160"/>
      <c r="N206" s="160"/>
      <c r="O206" s="544"/>
      <c r="P206" s="544"/>
      <c r="Q206" s="544"/>
      <c r="R206" s="774"/>
      <c r="S206" s="774"/>
    </row>
    <row r="207" spans="1:19" s="28" customFormat="1" ht="14.25" x14ac:dyDescent="0.45">
      <c r="A207" s="455" t="s">
        <v>736</v>
      </c>
      <c r="B207" s="475" t="s">
        <v>737</v>
      </c>
      <c r="C207" s="255" t="s">
        <v>77</v>
      </c>
      <c r="D207" s="657">
        <v>200</v>
      </c>
      <c r="E207" s="657">
        <v>0</v>
      </c>
      <c r="F207" s="657">
        <v>0</v>
      </c>
      <c r="G207" s="658">
        <v>0</v>
      </c>
      <c r="H207" s="933"/>
      <c r="I207" s="524" t="s">
        <v>71</v>
      </c>
      <c r="J207" s="159"/>
      <c r="K207" s="160"/>
      <c r="L207" s="160"/>
      <c r="M207" s="160"/>
      <c r="N207" s="160"/>
      <c r="O207" s="544"/>
      <c r="P207" s="544"/>
      <c r="Q207" s="544"/>
      <c r="R207" s="774"/>
      <c r="S207" s="774"/>
    </row>
    <row r="208" spans="1:19" s="28" customFormat="1" ht="14.25" x14ac:dyDescent="0.45">
      <c r="A208" s="455" t="s">
        <v>736</v>
      </c>
      <c r="B208" s="475" t="s">
        <v>737</v>
      </c>
      <c r="C208" s="255" t="s">
        <v>77</v>
      </c>
      <c r="D208" s="657">
        <v>50</v>
      </c>
      <c r="E208" s="657">
        <v>0</v>
      </c>
      <c r="F208" s="657">
        <v>0</v>
      </c>
      <c r="G208" s="658">
        <v>0</v>
      </c>
      <c r="H208" s="933"/>
      <c r="I208" s="524" t="s">
        <v>71</v>
      </c>
      <c r="J208" s="159"/>
      <c r="K208" s="160"/>
      <c r="L208" s="160"/>
      <c r="M208" s="160"/>
      <c r="N208" s="160"/>
      <c r="O208" s="160"/>
      <c r="P208" s="160"/>
      <c r="Q208" s="544"/>
      <c r="R208" s="774"/>
      <c r="S208" s="774"/>
    </row>
    <row r="209" spans="1:19" s="28" customFormat="1" ht="14.25" x14ac:dyDescent="0.45">
      <c r="A209" s="455" t="s">
        <v>842</v>
      </c>
      <c r="B209" s="475" t="s">
        <v>843</v>
      </c>
      <c r="C209" s="255" t="s">
        <v>77</v>
      </c>
      <c r="D209" s="657">
        <v>261</v>
      </c>
      <c r="E209" s="657">
        <v>0</v>
      </c>
      <c r="F209" s="657">
        <v>0</v>
      </c>
      <c r="G209" s="658">
        <v>0</v>
      </c>
      <c r="H209" s="933"/>
      <c r="I209" s="524"/>
      <c r="J209" s="159"/>
      <c r="K209" s="160"/>
      <c r="L209" s="160"/>
      <c r="M209" s="160"/>
      <c r="N209" s="160"/>
      <c r="O209" s="544"/>
      <c r="P209" s="544"/>
      <c r="Q209" s="544"/>
      <c r="R209" s="544"/>
      <c r="S209" s="544"/>
    </row>
    <row r="210" spans="1:19" s="28" customFormat="1" ht="14.25" x14ac:dyDescent="0.45">
      <c r="A210" s="455" t="s">
        <v>842</v>
      </c>
      <c r="B210" s="475" t="s">
        <v>843</v>
      </c>
      <c r="C210" s="255">
        <v>11</v>
      </c>
      <c r="D210" s="657">
        <v>7</v>
      </c>
      <c r="E210" s="657">
        <v>0</v>
      </c>
      <c r="F210" s="657">
        <v>0</v>
      </c>
      <c r="G210" s="658">
        <v>0</v>
      </c>
      <c r="H210" s="933"/>
      <c r="I210" s="524"/>
      <c r="J210" s="159"/>
      <c r="K210" s="160"/>
      <c r="L210" s="160"/>
      <c r="M210" s="160"/>
      <c r="N210" s="160"/>
      <c r="O210" s="544"/>
      <c r="P210" s="544"/>
      <c r="Q210" s="544"/>
      <c r="R210" s="544"/>
      <c r="S210" s="544"/>
    </row>
    <row r="211" spans="1:19" s="28" customFormat="1" ht="14.25" x14ac:dyDescent="0.45">
      <c r="A211" s="455" t="s">
        <v>842</v>
      </c>
      <c r="B211" s="475" t="s">
        <v>843</v>
      </c>
      <c r="C211" s="255">
        <v>12</v>
      </c>
      <c r="D211" s="657">
        <v>0</v>
      </c>
      <c r="E211" s="657">
        <v>7</v>
      </c>
      <c r="F211" s="657">
        <v>7</v>
      </c>
      <c r="G211" s="658">
        <v>7</v>
      </c>
      <c r="H211" s="933"/>
      <c r="I211" s="524"/>
      <c r="J211" s="159"/>
      <c r="K211" s="160"/>
      <c r="L211" s="160"/>
      <c r="M211" s="160"/>
      <c r="N211" s="160"/>
      <c r="O211" s="544"/>
      <c r="P211" s="544"/>
      <c r="Q211" s="544"/>
      <c r="R211" s="544"/>
      <c r="S211" s="544"/>
    </row>
    <row r="212" spans="1:19" s="587" customFormat="1" ht="14.25" x14ac:dyDescent="0.45">
      <c r="A212" s="455" t="s">
        <v>1050</v>
      </c>
      <c r="B212" s="475" t="s">
        <v>658</v>
      </c>
      <c r="C212" s="255" t="s">
        <v>77</v>
      </c>
      <c r="D212" s="657">
        <v>150</v>
      </c>
      <c r="E212" s="657">
        <v>0</v>
      </c>
      <c r="F212" s="657">
        <v>0</v>
      </c>
      <c r="G212" s="658">
        <v>0</v>
      </c>
      <c r="H212" s="933"/>
      <c r="I212" s="524" t="s">
        <v>71</v>
      </c>
      <c r="J212" s="159"/>
      <c r="K212" s="160"/>
      <c r="L212" s="160"/>
      <c r="M212" s="160"/>
      <c r="N212" s="160"/>
      <c r="O212" s="160"/>
      <c r="P212" s="160"/>
      <c r="Q212" s="544"/>
      <c r="R212" s="544"/>
      <c r="S212" s="544"/>
    </row>
    <row r="213" spans="1:19" s="28" customFormat="1" ht="14.25" x14ac:dyDescent="0.45">
      <c r="A213" s="494"/>
      <c r="B213" s="748"/>
      <c r="C213" s="255"/>
      <c r="D213" s="512"/>
      <c r="E213" s="512"/>
      <c r="F213" s="512"/>
      <c r="G213" s="513"/>
      <c r="H213" s="933"/>
      <c r="I213" s="524"/>
      <c r="J213" s="159"/>
      <c r="K213" s="160"/>
      <c r="L213" s="160"/>
      <c r="M213" s="160"/>
      <c r="N213" s="160"/>
      <c r="O213" s="854"/>
      <c r="P213" s="854"/>
      <c r="Q213" s="854"/>
      <c r="R213" s="854"/>
      <c r="S213" s="854"/>
    </row>
    <row r="214" spans="1:19" s="369" customFormat="1" ht="14.25" x14ac:dyDescent="0.45">
      <c r="A214" s="516" t="s">
        <v>163</v>
      </c>
      <c r="B214" s="333"/>
      <c r="C214" s="255"/>
      <c r="D214" s="256"/>
      <c r="E214" s="256"/>
      <c r="F214" s="256"/>
      <c r="G214" s="257"/>
      <c r="H214" s="933"/>
      <c r="I214" s="524"/>
      <c r="J214" s="159"/>
      <c r="K214" s="160"/>
      <c r="L214" s="160"/>
      <c r="M214" s="160"/>
      <c r="N214" s="160"/>
      <c r="O214" s="160"/>
      <c r="P214" s="160"/>
      <c r="Q214" s="544"/>
      <c r="R214" s="774"/>
      <c r="S214" s="774"/>
    </row>
    <row r="215" spans="1:19" s="28" customFormat="1" ht="14.25" x14ac:dyDescent="0.45">
      <c r="A215" s="959" t="s">
        <v>150</v>
      </c>
      <c r="B215" s="515"/>
      <c r="C215" s="255"/>
      <c r="D215" s="256"/>
      <c r="E215" s="256"/>
      <c r="F215" s="256"/>
      <c r="G215" s="257"/>
      <c r="H215" s="933"/>
      <c r="I215" s="524"/>
      <c r="J215" s="159"/>
      <c r="K215" s="160"/>
      <c r="L215" s="160"/>
      <c r="M215" s="160"/>
      <c r="N215" s="160"/>
      <c r="O215" s="160"/>
      <c r="P215" s="160"/>
      <c r="Q215" s="544"/>
      <c r="R215" s="774"/>
      <c r="S215" s="774"/>
    </row>
    <row r="216" spans="1:19" s="28" customFormat="1" ht="28.5" x14ac:dyDescent="0.45">
      <c r="A216" s="455" t="s">
        <v>923</v>
      </c>
      <c r="B216" s="475" t="s">
        <v>924</v>
      </c>
      <c r="C216" s="255" t="s">
        <v>77</v>
      </c>
      <c r="D216" s="256">
        <v>6178</v>
      </c>
      <c r="E216" s="256">
        <v>9708</v>
      </c>
      <c r="F216" s="256">
        <v>1765</v>
      </c>
      <c r="G216" s="257">
        <v>0</v>
      </c>
      <c r="H216" s="933"/>
      <c r="I216" s="524"/>
      <c r="J216" s="159"/>
      <c r="K216" s="160"/>
      <c r="L216" s="160"/>
      <c r="M216" s="160"/>
      <c r="N216" s="160"/>
      <c r="O216" s="160"/>
      <c r="P216" s="160"/>
      <c r="Q216" s="544"/>
      <c r="R216" s="774"/>
      <c r="S216" s="774"/>
    </row>
    <row r="217" spans="1:19" s="28" customFormat="1" ht="28.5" x14ac:dyDescent="0.45">
      <c r="A217" s="455" t="s">
        <v>923</v>
      </c>
      <c r="B217" s="475" t="s">
        <v>924</v>
      </c>
      <c r="C217" s="255">
        <v>11</v>
      </c>
      <c r="D217" s="256">
        <v>177</v>
      </c>
      <c r="E217" s="256">
        <v>177</v>
      </c>
      <c r="F217" s="256">
        <v>177</v>
      </c>
      <c r="G217" s="257">
        <v>0</v>
      </c>
      <c r="H217" s="933"/>
      <c r="I217" s="524"/>
      <c r="J217" s="159"/>
      <c r="K217" s="160"/>
      <c r="L217" s="160"/>
      <c r="M217" s="160"/>
      <c r="N217" s="160"/>
      <c r="O217" s="544"/>
      <c r="P217" s="544"/>
      <c r="Q217" s="544"/>
      <c r="R217" s="544"/>
      <c r="S217" s="544"/>
    </row>
    <row r="218" spans="1:19" s="28" customFormat="1" ht="28.5" x14ac:dyDescent="0.45">
      <c r="A218" s="455" t="s">
        <v>923</v>
      </c>
      <c r="B218" s="475" t="s">
        <v>924</v>
      </c>
      <c r="C218" s="255">
        <v>12</v>
      </c>
      <c r="D218" s="256">
        <v>205</v>
      </c>
      <c r="E218" s="256">
        <v>188</v>
      </c>
      <c r="F218" s="256">
        <f>100+155</f>
        <v>255</v>
      </c>
      <c r="G218" s="257">
        <f>100+155</f>
        <v>255</v>
      </c>
      <c r="H218" s="933"/>
      <c r="I218" s="524"/>
      <c r="J218" s="159"/>
      <c r="K218" s="160"/>
      <c r="L218" s="160"/>
      <c r="M218" s="160"/>
      <c r="N218" s="160"/>
      <c r="O218" s="544"/>
      <c r="P218" s="544"/>
      <c r="Q218" s="544"/>
      <c r="R218" s="544"/>
      <c r="S218" s="544"/>
    </row>
    <row r="219" spans="1:19" s="28" customFormat="1" ht="28.5" x14ac:dyDescent="0.45">
      <c r="A219" s="455" t="s">
        <v>923</v>
      </c>
      <c r="B219" s="475" t="s">
        <v>924</v>
      </c>
      <c r="C219" s="255">
        <v>13</v>
      </c>
      <c r="D219" s="256">
        <v>82</v>
      </c>
      <c r="E219" s="256">
        <v>61</v>
      </c>
      <c r="F219" s="256">
        <f>82+143</f>
        <v>225</v>
      </c>
      <c r="G219" s="257">
        <f>82+143</f>
        <v>225</v>
      </c>
      <c r="H219" s="933"/>
      <c r="I219" s="524"/>
      <c r="J219" s="159"/>
      <c r="K219" s="160"/>
      <c r="L219" s="160"/>
      <c r="M219" s="160"/>
      <c r="N219" s="160"/>
      <c r="O219" s="544"/>
      <c r="P219" s="544"/>
      <c r="Q219" s="544"/>
      <c r="R219" s="544"/>
      <c r="S219" s="544"/>
    </row>
    <row r="220" spans="1:19" s="28" customFormat="1" ht="28.5" x14ac:dyDescent="0.45">
      <c r="A220" s="455" t="s">
        <v>923</v>
      </c>
      <c r="B220" s="475" t="s">
        <v>924</v>
      </c>
      <c r="C220" s="255">
        <v>41</v>
      </c>
      <c r="D220" s="256">
        <v>29</v>
      </c>
      <c r="E220" s="256">
        <v>29</v>
      </c>
      <c r="F220" s="256">
        <v>29</v>
      </c>
      <c r="G220" s="257">
        <v>0</v>
      </c>
      <c r="H220" s="933"/>
      <c r="I220" s="524"/>
      <c r="J220" s="159"/>
      <c r="K220" s="160"/>
      <c r="L220" s="160"/>
      <c r="M220" s="160"/>
      <c r="N220" s="160"/>
      <c r="O220" s="544"/>
      <c r="P220" s="544"/>
      <c r="Q220" s="544"/>
      <c r="R220" s="544"/>
      <c r="S220" s="544"/>
    </row>
    <row r="221" spans="1:19" s="28" customFormat="1" ht="28.5" x14ac:dyDescent="0.45">
      <c r="A221" s="455" t="s">
        <v>923</v>
      </c>
      <c r="B221" s="475" t="s">
        <v>1082</v>
      </c>
      <c r="C221" s="255" t="s">
        <v>77</v>
      </c>
      <c r="D221" s="256">
        <v>6178</v>
      </c>
      <c r="E221" s="256">
        <v>9708</v>
      </c>
      <c r="F221" s="256">
        <v>1765</v>
      </c>
      <c r="G221" s="257">
        <v>0</v>
      </c>
      <c r="H221" s="933"/>
      <c r="I221" s="524" t="s">
        <v>71</v>
      </c>
      <c r="J221" s="159"/>
      <c r="K221" s="160"/>
      <c r="L221" s="160"/>
      <c r="M221" s="160"/>
      <c r="N221" s="160"/>
      <c r="O221" s="860"/>
      <c r="P221" s="860"/>
      <c r="Q221" s="860"/>
      <c r="R221" s="860"/>
      <c r="S221" s="860"/>
    </row>
    <row r="222" spans="1:19" s="28" customFormat="1" ht="28.5" x14ac:dyDescent="0.45">
      <c r="A222" s="455" t="s">
        <v>923</v>
      </c>
      <c r="B222" s="475" t="s">
        <v>1082</v>
      </c>
      <c r="C222" s="255" t="s">
        <v>77</v>
      </c>
      <c r="D222" s="256">
        <v>-1000</v>
      </c>
      <c r="E222" s="256">
        <v>-2000</v>
      </c>
      <c r="F222" s="256"/>
      <c r="G222" s="257"/>
      <c r="H222" s="933"/>
      <c r="I222" s="524" t="s">
        <v>71</v>
      </c>
      <c r="J222" s="159"/>
      <c r="K222" s="160"/>
      <c r="L222" s="160"/>
      <c r="M222" s="160"/>
      <c r="N222" s="160"/>
      <c r="O222" s="860"/>
      <c r="P222" s="860"/>
      <c r="Q222" s="860"/>
      <c r="R222" s="860"/>
      <c r="S222" s="860"/>
    </row>
    <row r="223" spans="1:19" s="28" customFormat="1" ht="28.5" x14ac:dyDescent="0.45">
      <c r="A223" s="455" t="s">
        <v>923</v>
      </c>
      <c r="B223" s="475" t="s">
        <v>924</v>
      </c>
      <c r="C223" s="255" t="s">
        <v>77</v>
      </c>
      <c r="D223" s="256">
        <v>177</v>
      </c>
      <c r="E223" s="256">
        <v>177</v>
      </c>
      <c r="F223" s="256">
        <v>177</v>
      </c>
      <c r="G223" s="257">
        <v>0</v>
      </c>
      <c r="H223" s="933"/>
      <c r="I223" s="524" t="s">
        <v>71</v>
      </c>
      <c r="J223" s="159"/>
      <c r="K223" s="160"/>
      <c r="L223" s="160"/>
      <c r="M223" s="160"/>
      <c r="N223" s="160"/>
      <c r="O223" s="860"/>
      <c r="P223" s="860"/>
      <c r="Q223" s="860"/>
      <c r="R223" s="860"/>
      <c r="S223" s="860"/>
    </row>
    <row r="224" spans="1:19" s="28" customFormat="1" ht="28.5" x14ac:dyDescent="0.45">
      <c r="A224" s="455" t="s">
        <v>923</v>
      </c>
      <c r="B224" s="475" t="s">
        <v>924</v>
      </c>
      <c r="C224" s="255">
        <v>12</v>
      </c>
      <c r="D224" s="256">
        <v>205</v>
      </c>
      <c r="E224" s="256">
        <v>188</v>
      </c>
      <c r="F224" s="256">
        <f>100+155</f>
        <v>255</v>
      </c>
      <c r="G224" s="257">
        <f>100+155</f>
        <v>255</v>
      </c>
      <c r="H224" s="933"/>
      <c r="I224" s="524" t="s">
        <v>71</v>
      </c>
      <c r="J224" s="159"/>
      <c r="K224" s="160"/>
      <c r="L224" s="160"/>
      <c r="M224" s="160"/>
      <c r="N224" s="160"/>
      <c r="O224" s="860"/>
      <c r="P224" s="860"/>
      <c r="Q224" s="860"/>
      <c r="R224" s="860"/>
      <c r="S224" s="860"/>
    </row>
    <row r="225" spans="1:19" s="28" customFormat="1" ht="28.5" x14ac:dyDescent="0.45">
      <c r="A225" s="455" t="s">
        <v>923</v>
      </c>
      <c r="B225" s="475" t="s">
        <v>924</v>
      </c>
      <c r="C225" s="255">
        <v>13</v>
      </c>
      <c r="D225" s="256">
        <v>82</v>
      </c>
      <c r="E225" s="256">
        <v>61</v>
      </c>
      <c r="F225" s="256">
        <f>82+143</f>
        <v>225</v>
      </c>
      <c r="G225" s="257">
        <f>82+143</f>
        <v>225</v>
      </c>
      <c r="H225" s="933"/>
      <c r="I225" s="524" t="s">
        <v>71</v>
      </c>
      <c r="J225" s="159"/>
      <c r="K225" s="160"/>
      <c r="L225" s="160"/>
      <c r="M225" s="160"/>
      <c r="N225" s="160"/>
      <c r="O225" s="860"/>
      <c r="P225" s="860"/>
      <c r="Q225" s="860"/>
      <c r="R225" s="860"/>
      <c r="S225" s="860"/>
    </row>
    <row r="226" spans="1:19" s="28" customFormat="1" ht="28.5" x14ac:dyDescent="0.45">
      <c r="A226" s="455" t="s">
        <v>923</v>
      </c>
      <c r="B226" s="475" t="s">
        <v>924</v>
      </c>
      <c r="C226" s="255">
        <v>41</v>
      </c>
      <c r="D226" s="256">
        <v>29</v>
      </c>
      <c r="E226" s="256">
        <v>29</v>
      </c>
      <c r="F226" s="256">
        <v>29</v>
      </c>
      <c r="G226" s="257">
        <v>0</v>
      </c>
      <c r="H226" s="933"/>
      <c r="I226" s="524" t="s">
        <v>71</v>
      </c>
      <c r="J226" s="159"/>
      <c r="K226" s="160"/>
      <c r="L226" s="160"/>
      <c r="M226" s="160"/>
      <c r="N226" s="160"/>
      <c r="O226" s="860"/>
      <c r="P226" s="860"/>
      <c r="Q226" s="860"/>
      <c r="R226" s="860"/>
      <c r="S226" s="860"/>
    </row>
    <row r="227" spans="1:19" s="28" customFormat="1" ht="14.25" x14ac:dyDescent="0.45">
      <c r="A227" s="494"/>
      <c r="B227" s="971"/>
      <c r="C227" s="255"/>
      <c r="D227" s="512"/>
      <c r="E227" s="512"/>
      <c r="F227" s="512"/>
      <c r="G227" s="513"/>
      <c r="H227" s="933"/>
      <c r="I227" s="524"/>
      <c r="J227" s="159"/>
      <c r="K227" s="160"/>
      <c r="L227" s="160"/>
      <c r="M227" s="160"/>
      <c r="N227" s="160"/>
      <c r="O227" s="860"/>
      <c r="P227" s="860"/>
      <c r="Q227" s="860"/>
      <c r="R227" s="860"/>
      <c r="S227" s="860"/>
    </row>
    <row r="228" spans="1:19" s="28" customFormat="1" ht="28.5" x14ac:dyDescent="0.45">
      <c r="A228" s="455" t="s">
        <v>923</v>
      </c>
      <c r="B228" s="475" t="s">
        <v>925</v>
      </c>
      <c r="C228" s="255" t="s">
        <v>77</v>
      </c>
      <c r="D228" s="256">
        <v>2362</v>
      </c>
      <c r="E228" s="256">
        <v>787</v>
      </c>
      <c r="F228" s="256">
        <v>0</v>
      </c>
      <c r="G228" s="257">
        <v>0</v>
      </c>
      <c r="H228" s="933"/>
      <c r="I228" s="524"/>
      <c r="J228" s="159"/>
      <c r="K228" s="160"/>
      <c r="L228" s="160"/>
      <c r="M228" s="160"/>
      <c r="N228" s="160"/>
      <c r="O228" s="544"/>
      <c r="P228" s="544"/>
      <c r="Q228" s="544"/>
      <c r="R228" s="544"/>
      <c r="S228" s="544"/>
    </row>
    <row r="229" spans="1:19" s="28" customFormat="1" ht="28.5" x14ac:dyDescent="0.45">
      <c r="A229" s="455" t="s">
        <v>923</v>
      </c>
      <c r="B229" s="475" t="s">
        <v>925</v>
      </c>
      <c r="C229" s="255" t="s">
        <v>77</v>
      </c>
      <c r="D229" s="256">
        <v>47</v>
      </c>
      <c r="E229" s="256">
        <v>47</v>
      </c>
      <c r="F229" s="256">
        <v>0</v>
      </c>
      <c r="G229" s="257">
        <v>0</v>
      </c>
      <c r="H229" s="933"/>
      <c r="I229" s="524"/>
      <c r="J229" s="159"/>
      <c r="K229" s="160"/>
      <c r="L229" s="160"/>
      <c r="M229" s="160"/>
      <c r="N229" s="160"/>
      <c r="O229" s="544"/>
      <c r="P229" s="544"/>
      <c r="Q229" s="544"/>
      <c r="R229" s="544"/>
      <c r="S229" s="544"/>
    </row>
    <row r="230" spans="1:19" s="28" customFormat="1" ht="28.5" x14ac:dyDescent="0.45">
      <c r="A230" s="455" t="s">
        <v>923</v>
      </c>
      <c r="B230" s="475" t="s">
        <v>925</v>
      </c>
      <c r="C230" s="255">
        <v>12</v>
      </c>
      <c r="D230" s="256">
        <v>119</v>
      </c>
      <c r="E230" s="256">
        <f>205+50</f>
        <v>255</v>
      </c>
      <c r="F230" s="256">
        <v>50</v>
      </c>
      <c r="G230" s="257">
        <v>0</v>
      </c>
      <c r="H230" s="933"/>
      <c r="I230" s="524"/>
      <c r="J230" s="159"/>
      <c r="K230" s="160"/>
      <c r="L230" s="160"/>
      <c r="M230" s="160"/>
      <c r="N230" s="160"/>
      <c r="O230" s="544"/>
      <c r="P230" s="544"/>
      <c r="Q230" s="544"/>
      <c r="R230" s="544"/>
      <c r="S230" s="544"/>
    </row>
    <row r="231" spans="1:19" s="28" customFormat="1" ht="28.5" x14ac:dyDescent="0.45">
      <c r="A231" s="455" t="s">
        <v>923</v>
      </c>
      <c r="B231" s="475" t="s">
        <v>925</v>
      </c>
      <c r="C231" s="255">
        <v>13</v>
      </c>
      <c r="D231" s="256">
        <v>48</v>
      </c>
      <c r="E231" s="256">
        <v>82</v>
      </c>
      <c r="F231" s="256">
        <v>0</v>
      </c>
      <c r="G231" s="257">
        <v>0</v>
      </c>
      <c r="H231" s="933"/>
      <c r="I231" s="524"/>
      <c r="J231" s="159"/>
      <c r="K231" s="160"/>
      <c r="L231" s="160"/>
      <c r="M231" s="160"/>
      <c r="N231" s="160"/>
      <c r="O231" s="544"/>
      <c r="P231" s="544"/>
      <c r="Q231" s="544"/>
      <c r="R231" s="544"/>
      <c r="S231" s="544"/>
    </row>
    <row r="232" spans="1:19" s="28" customFormat="1" ht="28.5" x14ac:dyDescent="0.45">
      <c r="A232" s="455" t="s">
        <v>923</v>
      </c>
      <c r="B232" s="475" t="s">
        <v>925</v>
      </c>
      <c r="C232" s="255">
        <v>41</v>
      </c>
      <c r="D232" s="256">
        <v>8</v>
      </c>
      <c r="E232" s="256">
        <v>8</v>
      </c>
      <c r="F232" s="256">
        <v>0</v>
      </c>
      <c r="G232" s="257">
        <v>0</v>
      </c>
      <c r="H232" s="933"/>
      <c r="I232" s="524"/>
      <c r="J232" s="159"/>
      <c r="K232" s="160"/>
      <c r="L232" s="160"/>
      <c r="M232" s="160"/>
      <c r="N232" s="160"/>
      <c r="O232" s="544"/>
      <c r="P232" s="544"/>
      <c r="Q232" s="544"/>
      <c r="R232" s="544"/>
      <c r="S232" s="544"/>
    </row>
    <row r="233" spans="1:19" s="28" customFormat="1" ht="14.25" x14ac:dyDescent="0.45">
      <c r="A233" s="455" t="s">
        <v>926</v>
      </c>
      <c r="B233" s="160" t="s">
        <v>927</v>
      </c>
      <c r="C233" s="255" t="s">
        <v>77</v>
      </c>
      <c r="D233" s="657">
        <v>6000</v>
      </c>
      <c r="E233" s="657">
        <v>5837</v>
      </c>
      <c r="F233" s="657">
        <v>0</v>
      </c>
      <c r="G233" s="658">
        <v>0</v>
      </c>
      <c r="H233" s="933"/>
      <c r="I233" s="524"/>
      <c r="J233" s="159"/>
      <c r="K233" s="160"/>
      <c r="L233" s="160"/>
      <c r="M233" s="160"/>
      <c r="N233" s="160"/>
      <c r="O233" s="544"/>
      <c r="P233" s="544"/>
      <c r="Q233" s="544"/>
      <c r="R233" s="544"/>
      <c r="S233" s="544"/>
    </row>
    <row r="234" spans="1:19" s="28" customFormat="1" ht="14.25" x14ac:dyDescent="0.45">
      <c r="A234" s="455" t="s">
        <v>926</v>
      </c>
      <c r="B234" s="160" t="s">
        <v>927</v>
      </c>
      <c r="C234" s="255">
        <v>11</v>
      </c>
      <c r="D234" s="657">
        <v>187</v>
      </c>
      <c r="E234" s="657">
        <v>187</v>
      </c>
      <c r="F234" s="657">
        <v>0</v>
      </c>
      <c r="G234" s="658">
        <v>0</v>
      </c>
      <c r="H234" s="933"/>
      <c r="I234" s="524"/>
      <c r="J234" s="159"/>
      <c r="K234" s="160"/>
      <c r="L234" s="160"/>
      <c r="M234" s="160"/>
      <c r="N234" s="160"/>
      <c r="O234" s="544"/>
      <c r="P234" s="544"/>
      <c r="Q234" s="544"/>
      <c r="R234" s="544"/>
      <c r="S234" s="544"/>
    </row>
    <row r="235" spans="1:19" s="28" customFormat="1" ht="14.25" x14ac:dyDescent="0.45">
      <c r="A235" s="455" t="s">
        <v>1039</v>
      </c>
      <c r="B235" s="160" t="s">
        <v>927</v>
      </c>
      <c r="C235" s="659" t="s">
        <v>77</v>
      </c>
      <c r="D235" s="657">
        <v>7610</v>
      </c>
      <c r="E235" s="657">
        <v>7610</v>
      </c>
      <c r="F235" s="657">
        <v>0</v>
      </c>
      <c r="G235" s="658">
        <v>0</v>
      </c>
      <c r="H235" s="933"/>
      <c r="I235" s="524"/>
      <c r="J235" s="159"/>
      <c r="K235" s="160"/>
      <c r="L235" s="160"/>
      <c r="M235" s="160"/>
      <c r="N235" s="160"/>
      <c r="O235" s="854"/>
      <c r="P235" s="854"/>
      <c r="Q235" s="854"/>
      <c r="R235" s="854"/>
      <c r="S235" s="854"/>
    </row>
    <row r="236" spans="1:19" s="28" customFormat="1" ht="14.25" x14ac:dyDescent="0.45">
      <c r="A236" s="455" t="s">
        <v>1039</v>
      </c>
      <c r="B236" s="160" t="s">
        <v>927</v>
      </c>
      <c r="C236" s="659">
        <v>11</v>
      </c>
      <c r="D236" s="657">
        <v>254</v>
      </c>
      <c r="E236" s="657">
        <v>254</v>
      </c>
      <c r="F236" s="657">
        <v>0</v>
      </c>
      <c r="G236" s="658">
        <v>0</v>
      </c>
      <c r="H236" s="933"/>
      <c r="I236" s="524"/>
      <c r="J236" s="159"/>
      <c r="K236" s="160"/>
      <c r="L236" s="160"/>
      <c r="M236" s="160"/>
      <c r="N236" s="160"/>
      <c r="O236" s="854"/>
      <c r="P236" s="854"/>
      <c r="Q236" s="854"/>
      <c r="R236" s="854"/>
      <c r="S236" s="854"/>
    </row>
    <row r="237" spans="1:19" s="28" customFormat="1" ht="28.5" x14ac:dyDescent="0.45">
      <c r="A237" s="455" t="s">
        <v>926</v>
      </c>
      <c r="B237" s="475" t="s">
        <v>928</v>
      </c>
      <c r="C237" s="255" t="s">
        <v>77</v>
      </c>
      <c r="D237" s="657">
        <v>745</v>
      </c>
      <c r="E237" s="657">
        <v>0</v>
      </c>
      <c r="F237" s="657">
        <v>0</v>
      </c>
      <c r="G237" s="658">
        <v>0</v>
      </c>
      <c r="H237" s="933"/>
      <c r="I237" s="524"/>
      <c r="J237" s="159"/>
      <c r="K237" s="160"/>
      <c r="L237" s="160"/>
      <c r="M237" s="160"/>
      <c r="N237" s="160"/>
      <c r="O237" s="544"/>
      <c r="P237" s="544"/>
      <c r="Q237" s="544"/>
      <c r="R237" s="544"/>
      <c r="S237" s="544"/>
    </row>
    <row r="238" spans="1:19" s="28" customFormat="1" ht="28.5" x14ac:dyDescent="0.45">
      <c r="A238" s="455" t="s">
        <v>926</v>
      </c>
      <c r="B238" s="475" t="s">
        <v>928</v>
      </c>
      <c r="C238" s="255">
        <v>11</v>
      </c>
      <c r="D238" s="657">
        <v>22</v>
      </c>
      <c r="E238" s="657">
        <v>0</v>
      </c>
      <c r="F238" s="657">
        <v>0</v>
      </c>
      <c r="G238" s="658">
        <v>0</v>
      </c>
      <c r="H238" s="933"/>
      <c r="I238" s="524"/>
      <c r="J238" s="159"/>
      <c r="K238" s="160"/>
      <c r="L238" s="160"/>
      <c r="M238" s="160"/>
      <c r="N238" s="160"/>
      <c r="O238" s="544"/>
      <c r="P238" s="544"/>
      <c r="Q238" s="544"/>
      <c r="R238" s="544"/>
      <c r="S238" s="544"/>
    </row>
    <row r="239" spans="1:19" s="28" customFormat="1" ht="14.25" x14ac:dyDescent="0.45">
      <c r="A239" s="455" t="s">
        <v>926</v>
      </c>
      <c r="B239" s="160" t="s">
        <v>1075</v>
      </c>
      <c r="C239" s="255" t="s">
        <v>77</v>
      </c>
      <c r="D239" s="657">
        <v>5500</v>
      </c>
      <c r="E239" s="657">
        <v>15000</v>
      </c>
      <c r="F239" s="657">
        <v>0</v>
      </c>
      <c r="G239" s="658">
        <v>0</v>
      </c>
      <c r="H239" s="933"/>
      <c r="I239" s="524" t="s">
        <v>71</v>
      </c>
      <c r="J239" s="159"/>
      <c r="K239" s="160"/>
      <c r="L239" s="160"/>
      <c r="M239" s="160"/>
      <c r="N239" s="160"/>
      <c r="O239" s="544"/>
      <c r="P239" s="544"/>
      <c r="Q239" s="544"/>
      <c r="R239" s="544"/>
      <c r="S239" s="544"/>
    </row>
    <row r="240" spans="1:19" s="28" customFormat="1" ht="14.25" x14ac:dyDescent="0.45">
      <c r="A240" s="455" t="s">
        <v>926</v>
      </c>
      <c r="B240" s="475" t="s">
        <v>1075</v>
      </c>
      <c r="C240" s="255" t="s">
        <v>77</v>
      </c>
      <c r="D240" s="256">
        <v>360</v>
      </c>
      <c r="E240" s="256">
        <v>360</v>
      </c>
      <c r="F240" s="256">
        <v>0</v>
      </c>
      <c r="G240" s="257">
        <v>0</v>
      </c>
      <c r="H240" s="933"/>
      <c r="I240" s="524" t="s">
        <v>71</v>
      </c>
      <c r="J240" s="159"/>
      <c r="K240" s="160"/>
      <c r="L240" s="160"/>
      <c r="M240" s="160"/>
      <c r="N240" s="160"/>
      <c r="O240" s="544"/>
      <c r="P240" s="544"/>
      <c r="Q240" s="544"/>
      <c r="R240" s="544"/>
      <c r="S240" s="544"/>
    </row>
    <row r="241" spans="1:19" s="28" customFormat="1" ht="28.5" x14ac:dyDescent="0.45">
      <c r="A241" s="455" t="s">
        <v>929</v>
      </c>
      <c r="B241" s="475" t="s">
        <v>930</v>
      </c>
      <c r="C241" s="255" t="s">
        <v>77</v>
      </c>
      <c r="D241" s="657">
        <v>700</v>
      </c>
      <c r="E241" s="657">
        <v>0</v>
      </c>
      <c r="F241" s="657">
        <v>0</v>
      </c>
      <c r="G241" s="658">
        <v>0</v>
      </c>
      <c r="H241" s="933"/>
      <c r="I241" s="524"/>
      <c r="J241" s="159"/>
      <c r="K241" s="160"/>
      <c r="L241" s="160"/>
      <c r="M241" s="160"/>
      <c r="N241" s="160"/>
      <c r="O241" s="544"/>
      <c r="P241" s="544"/>
      <c r="Q241" s="544"/>
      <c r="R241" s="544"/>
      <c r="S241" s="544"/>
    </row>
    <row r="242" spans="1:19" s="28" customFormat="1" ht="28.5" x14ac:dyDescent="0.45">
      <c r="A242" s="455" t="s">
        <v>929</v>
      </c>
      <c r="B242" s="475" t="s">
        <v>930</v>
      </c>
      <c r="C242" s="255">
        <v>11</v>
      </c>
      <c r="D242" s="657">
        <v>21</v>
      </c>
      <c r="E242" s="657">
        <v>0</v>
      </c>
      <c r="F242" s="657">
        <v>0</v>
      </c>
      <c r="G242" s="658">
        <v>0</v>
      </c>
      <c r="H242" s="933"/>
      <c r="I242" s="524"/>
      <c r="J242" s="159"/>
      <c r="K242" s="160"/>
      <c r="L242" s="160"/>
      <c r="M242" s="160"/>
      <c r="N242" s="160"/>
      <c r="O242" s="544"/>
      <c r="P242" s="544"/>
      <c r="Q242" s="544"/>
      <c r="R242" s="544"/>
      <c r="S242" s="544"/>
    </row>
    <row r="243" spans="1:19" s="28" customFormat="1" ht="14.25" x14ac:dyDescent="0.45">
      <c r="A243" s="455"/>
      <c r="B243" s="475"/>
      <c r="C243" s="255"/>
      <c r="D243" s="256"/>
      <c r="E243" s="256"/>
      <c r="F243" s="256"/>
      <c r="G243" s="257"/>
      <c r="H243" s="933"/>
      <c r="I243" s="524"/>
      <c r="J243" s="159"/>
      <c r="K243" s="160"/>
      <c r="L243" s="160"/>
      <c r="M243" s="160"/>
      <c r="N243" s="160"/>
      <c r="O243" s="160"/>
      <c r="P243" s="160"/>
      <c r="Q243" s="544"/>
      <c r="R243" s="774"/>
      <c r="S243" s="774"/>
    </row>
    <row r="244" spans="1:19" s="28" customFormat="1" ht="14.25" x14ac:dyDescent="0.45">
      <c r="A244" s="959" t="s">
        <v>151</v>
      </c>
      <c r="B244" s="475"/>
      <c r="C244" s="255"/>
      <c r="D244" s="256"/>
      <c r="E244" s="256"/>
      <c r="F244" s="256"/>
      <c r="G244" s="257"/>
      <c r="H244" s="933"/>
      <c r="I244" s="524"/>
      <c r="J244" s="159"/>
      <c r="K244" s="160"/>
      <c r="L244" s="160"/>
      <c r="M244" s="160"/>
      <c r="N244" s="160"/>
      <c r="O244" s="160"/>
      <c r="P244" s="160"/>
      <c r="Q244" s="544"/>
      <c r="R244" s="774"/>
      <c r="S244" s="774"/>
    </row>
    <row r="245" spans="1:19" s="28" customFormat="1" ht="14.25" x14ac:dyDescent="0.45">
      <c r="A245" s="455" t="s">
        <v>699</v>
      </c>
      <c r="B245" s="475" t="s">
        <v>700</v>
      </c>
      <c r="C245" s="255" t="s">
        <v>77</v>
      </c>
      <c r="D245" s="657">
        <v>350</v>
      </c>
      <c r="E245" s="657">
        <v>2450</v>
      </c>
      <c r="F245" s="657">
        <v>2450</v>
      </c>
      <c r="G245" s="658">
        <v>2450</v>
      </c>
      <c r="H245" s="933"/>
      <c r="I245" s="524" t="s">
        <v>71</v>
      </c>
      <c r="J245" s="159"/>
      <c r="K245" s="160"/>
      <c r="L245" s="160"/>
      <c r="M245" s="160"/>
      <c r="N245" s="160"/>
      <c r="O245" s="160"/>
      <c r="P245" s="160"/>
      <c r="Q245" s="544"/>
      <c r="R245" s="774"/>
      <c r="S245" s="774"/>
    </row>
    <row r="246" spans="1:19" s="28" customFormat="1" ht="14.25" x14ac:dyDescent="0.45">
      <c r="A246" s="455" t="s">
        <v>699</v>
      </c>
      <c r="B246" s="475" t="s">
        <v>700</v>
      </c>
      <c r="C246" s="255" t="s">
        <v>77</v>
      </c>
      <c r="D246" s="256">
        <v>59</v>
      </c>
      <c r="E246" s="256">
        <v>59</v>
      </c>
      <c r="F246" s="256">
        <v>59</v>
      </c>
      <c r="G246" s="257">
        <v>59</v>
      </c>
      <c r="H246" s="933"/>
      <c r="I246" s="524" t="s">
        <v>71</v>
      </c>
      <c r="J246" s="159"/>
      <c r="K246" s="160"/>
      <c r="L246" s="160"/>
      <c r="M246" s="160"/>
      <c r="N246" s="160"/>
      <c r="O246" s="544"/>
      <c r="P246" s="544"/>
      <c r="Q246" s="544"/>
      <c r="R246" s="774"/>
      <c r="S246" s="774"/>
    </row>
    <row r="247" spans="1:19" s="28" customFormat="1" ht="14.25" x14ac:dyDescent="0.45">
      <c r="A247" s="455"/>
      <c r="B247" s="475"/>
      <c r="C247" s="255"/>
      <c r="D247" s="657"/>
      <c r="E247" s="657"/>
      <c r="F247" s="657"/>
      <c r="G247" s="658"/>
      <c r="H247" s="933"/>
      <c r="I247" s="524"/>
      <c r="J247" s="159"/>
      <c r="K247" s="160"/>
      <c r="L247" s="160"/>
      <c r="M247" s="160"/>
      <c r="N247" s="160"/>
      <c r="O247" s="544"/>
      <c r="P247" s="544"/>
      <c r="Q247" s="544"/>
      <c r="R247" s="774"/>
      <c r="S247" s="774"/>
    </row>
    <row r="248" spans="1:19" s="28" customFormat="1" ht="14.25" x14ac:dyDescent="0.45">
      <c r="A248" s="959" t="s">
        <v>149</v>
      </c>
      <c r="B248" s="234"/>
      <c r="C248" s="255"/>
      <c r="D248" s="512"/>
      <c r="E248" s="512"/>
      <c r="F248" s="512"/>
      <c r="G248" s="513"/>
      <c r="H248" s="933"/>
      <c r="I248" s="524"/>
      <c r="J248" s="159"/>
      <c r="K248" s="160"/>
      <c r="L248" s="160"/>
      <c r="M248" s="160"/>
      <c r="N248" s="160"/>
      <c r="O248" s="544"/>
      <c r="P248" s="544"/>
      <c r="Q248" s="544"/>
      <c r="R248" s="774"/>
      <c r="S248" s="774"/>
    </row>
    <row r="249" spans="1:19" s="28" customFormat="1" ht="14.25" x14ac:dyDescent="0.45">
      <c r="A249" s="455"/>
      <c r="B249" s="475"/>
      <c r="C249" s="255"/>
      <c r="D249" s="256"/>
      <c r="E249" s="256"/>
      <c r="F249" s="256"/>
      <c r="G249" s="256"/>
      <c r="H249" s="933"/>
      <c r="I249" s="524"/>
      <c r="J249" s="159"/>
      <c r="K249" s="160"/>
      <c r="L249" s="160"/>
      <c r="M249" s="160"/>
      <c r="N249" s="160"/>
      <c r="O249" s="544"/>
      <c r="P249" s="544"/>
      <c r="Q249" s="544"/>
      <c r="R249" s="774"/>
      <c r="S249" s="774"/>
    </row>
    <row r="250" spans="1:19" s="28" customFormat="1" ht="14.25" x14ac:dyDescent="0.45">
      <c r="A250" s="494"/>
      <c r="B250" s="971"/>
      <c r="C250" s="255"/>
      <c r="D250" s="512"/>
      <c r="E250" s="512"/>
      <c r="F250" s="512"/>
      <c r="G250" s="512"/>
      <c r="H250" s="933"/>
      <c r="I250" s="524"/>
      <c r="J250" s="159"/>
      <c r="K250" s="160"/>
      <c r="L250" s="160"/>
      <c r="M250" s="160"/>
      <c r="N250" s="160"/>
      <c r="O250" s="808"/>
      <c r="P250" s="808"/>
      <c r="Q250" s="808"/>
      <c r="R250" s="808"/>
      <c r="S250" s="808"/>
    </row>
    <row r="251" spans="1:19" s="28" customFormat="1" ht="14.25" x14ac:dyDescent="0.45">
      <c r="A251" s="957" t="s">
        <v>697</v>
      </c>
      <c r="B251" s="971"/>
      <c r="C251" s="255"/>
      <c r="D251" s="512"/>
      <c r="E251" s="512"/>
      <c r="F251" s="512"/>
      <c r="G251" s="512"/>
      <c r="H251" s="933"/>
      <c r="I251" s="524"/>
      <c r="J251" s="159"/>
      <c r="K251" s="160"/>
      <c r="L251" s="160"/>
      <c r="M251" s="160"/>
      <c r="N251" s="160"/>
      <c r="O251" s="808"/>
      <c r="P251" s="808"/>
      <c r="Q251" s="808"/>
      <c r="R251" s="808"/>
      <c r="S251" s="808"/>
    </row>
    <row r="252" spans="1:19" s="28" customFormat="1" ht="14.25" x14ac:dyDescent="0.45">
      <c r="A252" s="494"/>
      <c r="B252" s="748"/>
      <c r="C252" s="255"/>
      <c r="D252" s="512"/>
      <c r="E252" s="512"/>
      <c r="F252" s="512"/>
      <c r="G252" s="513"/>
      <c r="H252" s="933"/>
      <c r="I252" s="524"/>
      <c r="J252" s="159"/>
      <c r="K252" s="160"/>
      <c r="L252" s="160"/>
      <c r="M252" s="160"/>
      <c r="N252" s="160"/>
      <c r="O252" s="544"/>
      <c r="P252" s="544"/>
      <c r="Q252" s="544"/>
      <c r="R252" s="774"/>
      <c r="S252" s="774"/>
    </row>
    <row r="253" spans="1:19" s="28" customFormat="1" ht="14.25" x14ac:dyDescent="0.45">
      <c r="A253" s="958" t="s">
        <v>682</v>
      </c>
      <c r="B253" s="972"/>
      <c r="C253" s="255"/>
      <c r="D253" s="512"/>
      <c r="E253" s="256"/>
      <c r="F253" s="256"/>
      <c r="G253" s="257"/>
      <c r="H253" s="933"/>
      <c r="I253" s="524"/>
      <c r="J253" s="159"/>
      <c r="K253" s="160"/>
      <c r="L253" s="160"/>
      <c r="M253" s="160"/>
      <c r="N253" s="160"/>
      <c r="O253" s="160"/>
      <c r="P253" s="160"/>
      <c r="Q253" s="544"/>
      <c r="R253" s="774"/>
      <c r="S253" s="774"/>
    </row>
    <row r="254" spans="1:19" s="28" customFormat="1" ht="14.25" x14ac:dyDescent="0.45">
      <c r="A254" s="959" t="s">
        <v>151</v>
      </c>
      <c r="B254" s="961"/>
      <c r="C254" s="255"/>
      <c r="D254" s="256"/>
      <c r="E254" s="256"/>
      <c r="F254" s="256"/>
      <c r="G254" s="257"/>
      <c r="H254" s="933"/>
      <c r="I254" s="524"/>
      <c r="J254" s="159"/>
      <c r="K254" s="160"/>
      <c r="L254" s="160"/>
      <c r="M254" s="160"/>
      <c r="N254" s="160"/>
      <c r="O254" s="544"/>
      <c r="P254" s="544"/>
      <c r="Q254" s="544"/>
      <c r="R254" s="774"/>
      <c r="S254" s="774"/>
    </row>
    <row r="255" spans="1:19" s="28" customFormat="1" ht="14.25" x14ac:dyDescent="0.45">
      <c r="A255" s="455" t="s">
        <v>683</v>
      </c>
      <c r="B255" s="475" t="s">
        <v>684</v>
      </c>
      <c r="C255" s="255" t="s">
        <v>77</v>
      </c>
      <c r="D255" s="256">
        <v>195</v>
      </c>
      <c r="E255" s="256">
        <v>0</v>
      </c>
      <c r="F255" s="256">
        <v>0</v>
      </c>
      <c r="G255" s="257">
        <v>0</v>
      </c>
      <c r="H255" s="933"/>
      <c r="I255" s="524" t="s">
        <v>71</v>
      </c>
      <c r="J255" s="159"/>
      <c r="K255" s="160"/>
      <c r="L255" s="160"/>
      <c r="M255" s="160"/>
      <c r="N255" s="160"/>
      <c r="O255" s="544"/>
      <c r="P255" s="544"/>
      <c r="Q255" s="544"/>
      <c r="R255" s="774"/>
      <c r="S255" s="774"/>
    </row>
    <row r="256" spans="1:19" s="28" customFormat="1" ht="14.25" x14ac:dyDescent="0.45">
      <c r="A256" s="455" t="s">
        <v>683</v>
      </c>
      <c r="B256" s="475" t="s">
        <v>684</v>
      </c>
      <c r="C256" s="255" t="s">
        <v>77</v>
      </c>
      <c r="D256" s="256">
        <v>6</v>
      </c>
      <c r="E256" s="256">
        <v>0</v>
      </c>
      <c r="F256" s="256">
        <v>0</v>
      </c>
      <c r="G256" s="257">
        <v>0</v>
      </c>
      <c r="H256" s="933"/>
      <c r="I256" s="524" t="s">
        <v>71</v>
      </c>
      <c r="J256" s="159"/>
      <c r="K256" s="160"/>
      <c r="L256" s="160"/>
      <c r="M256" s="160"/>
      <c r="N256" s="160"/>
      <c r="O256" s="544"/>
      <c r="P256" s="544"/>
      <c r="Q256" s="544"/>
      <c r="R256" s="774"/>
      <c r="S256" s="774"/>
    </row>
    <row r="257" spans="1:19" s="28" customFormat="1" ht="14.25" x14ac:dyDescent="0.45">
      <c r="A257" s="455" t="s">
        <v>683</v>
      </c>
      <c r="B257" s="475" t="s">
        <v>684</v>
      </c>
      <c r="C257" s="255">
        <v>45</v>
      </c>
      <c r="D257" s="256">
        <v>35</v>
      </c>
      <c r="E257" s="256">
        <v>35</v>
      </c>
      <c r="F257" s="256">
        <v>35</v>
      </c>
      <c r="G257" s="257">
        <v>35</v>
      </c>
      <c r="H257" s="933"/>
      <c r="I257" s="524" t="s">
        <v>71</v>
      </c>
      <c r="J257" s="159"/>
      <c r="K257" s="160"/>
      <c r="L257" s="160"/>
      <c r="M257" s="160"/>
      <c r="N257" s="160"/>
      <c r="O257" s="544"/>
      <c r="P257" s="544"/>
      <c r="Q257" s="544"/>
      <c r="R257" s="774"/>
      <c r="S257" s="774"/>
    </row>
    <row r="258" spans="1:19" s="28" customFormat="1" ht="14.25" x14ac:dyDescent="0.45">
      <c r="A258" s="455" t="s">
        <v>685</v>
      </c>
      <c r="B258" s="475" t="s">
        <v>686</v>
      </c>
      <c r="C258" s="255" t="s">
        <v>77</v>
      </c>
      <c r="D258" s="657">
        <v>680</v>
      </c>
      <c r="E258" s="657">
        <v>0</v>
      </c>
      <c r="F258" s="657">
        <v>0</v>
      </c>
      <c r="G258" s="658">
        <v>0</v>
      </c>
      <c r="H258" s="933"/>
      <c r="I258" s="524"/>
      <c r="J258" s="159"/>
      <c r="K258" s="160"/>
      <c r="L258" s="160"/>
      <c r="M258" s="160"/>
      <c r="N258" s="160"/>
      <c r="O258" s="544"/>
      <c r="P258" s="544"/>
      <c r="Q258" s="544"/>
      <c r="R258" s="544"/>
      <c r="S258" s="544"/>
    </row>
    <row r="259" spans="1:19" s="28" customFormat="1" ht="14.25" x14ac:dyDescent="0.45">
      <c r="A259" s="455" t="s">
        <v>685</v>
      </c>
      <c r="B259" s="475" t="s">
        <v>686</v>
      </c>
      <c r="C259" s="255">
        <v>11</v>
      </c>
      <c r="D259" s="657">
        <v>21</v>
      </c>
      <c r="E259" s="657">
        <v>0</v>
      </c>
      <c r="F259" s="657">
        <v>0</v>
      </c>
      <c r="G259" s="658">
        <v>0</v>
      </c>
      <c r="H259" s="933"/>
      <c r="I259" s="524"/>
      <c r="J259" s="159"/>
      <c r="K259" s="160"/>
      <c r="L259" s="160"/>
      <c r="M259" s="160"/>
      <c r="N259" s="160"/>
      <c r="O259" s="544"/>
      <c r="P259" s="544"/>
      <c r="Q259" s="544"/>
      <c r="R259" s="544"/>
      <c r="S259" s="544"/>
    </row>
    <row r="260" spans="1:19" s="28" customFormat="1" ht="14.25" x14ac:dyDescent="0.45">
      <c r="A260" s="455" t="s">
        <v>685</v>
      </c>
      <c r="B260" s="475" t="s">
        <v>686</v>
      </c>
      <c r="C260" s="255">
        <v>45</v>
      </c>
      <c r="D260" s="657">
        <v>0</v>
      </c>
      <c r="E260" s="657">
        <v>10</v>
      </c>
      <c r="F260" s="657">
        <v>10</v>
      </c>
      <c r="G260" s="658">
        <v>10</v>
      </c>
      <c r="H260" s="933"/>
      <c r="I260" s="524"/>
      <c r="J260" s="159"/>
      <c r="K260" s="160"/>
      <c r="L260" s="160"/>
      <c r="M260" s="160"/>
      <c r="N260" s="160"/>
      <c r="O260" s="544"/>
      <c r="P260" s="544"/>
      <c r="Q260" s="544"/>
      <c r="R260" s="544"/>
      <c r="S260" s="544"/>
    </row>
    <row r="261" spans="1:19" s="28" customFormat="1" ht="14.25" x14ac:dyDescent="0.45">
      <c r="A261" s="455" t="s">
        <v>695</v>
      </c>
      <c r="B261" s="475" t="s">
        <v>696</v>
      </c>
      <c r="C261" s="255"/>
      <c r="D261" s="256"/>
      <c r="E261" s="256"/>
      <c r="F261" s="256"/>
      <c r="G261" s="257"/>
      <c r="H261" s="933"/>
      <c r="I261" s="524"/>
      <c r="J261" s="159"/>
      <c r="K261" s="160"/>
      <c r="L261" s="160"/>
      <c r="M261" s="160"/>
      <c r="N261" s="160"/>
      <c r="O261" s="774"/>
      <c r="P261" s="774"/>
      <c r="Q261" s="774"/>
      <c r="R261" s="774"/>
      <c r="S261" s="774"/>
    </row>
    <row r="262" spans="1:19" s="28" customFormat="1" ht="14.25" x14ac:dyDescent="0.45">
      <c r="A262" s="455" t="s">
        <v>687</v>
      </c>
      <c r="B262" s="475" t="s">
        <v>688</v>
      </c>
      <c r="C262" s="255" t="s">
        <v>77</v>
      </c>
      <c r="D262" s="256">
        <v>200</v>
      </c>
      <c r="E262" s="256">
        <v>3340</v>
      </c>
      <c r="F262" s="256">
        <v>0</v>
      </c>
      <c r="G262" s="257">
        <v>0</v>
      </c>
      <c r="H262" s="933"/>
      <c r="I262" s="524" t="s">
        <v>71</v>
      </c>
      <c r="J262" s="159"/>
      <c r="K262" s="160"/>
      <c r="L262" s="160"/>
      <c r="M262" s="160"/>
      <c r="N262" s="160"/>
      <c r="O262" s="544"/>
      <c r="P262" s="544"/>
      <c r="Q262" s="544"/>
      <c r="R262" s="544"/>
      <c r="S262" s="544"/>
    </row>
    <row r="263" spans="1:19" s="28" customFormat="1" ht="14.25" x14ac:dyDescent="0.45">
      <c r="A263" s="455" t="s">
        <v>687</v>
      </c>
      <c r="B263" s="475" t="s">
        <v>688</v>
      </c>
      <c r="C263" s="255" t="s">
        <v>77</v>
      </c>
      <c r="D263" s="256">
        <v>55</v>
      </c>
      <c r="E263" s="256">
        <v>55</v>
      </c>
      <c r="F263" s="256">
        <v>0</v>
      </c>
      <c r="G263" s="257">
        <v>0</v>
      </c>
      <c r="H263" s="933"/>
      <c r="I263" s="524" t="s">
        <v>71</v>
      </c>
      <c r="J263" s="159"/>
      <c r="K263" s="160"/>
      <c r="L263" s="160"/>
      <c r="M263" s="160"/>
      <c r="N263" s="160"/>
      <c r="O263" s="544"/>
      <c r="P263" s="544"/>
      <c r="Q263" s="544"/>
      <c r="R263" s="544"/>
      <c r="S263" s="544"/>
    </row>
    <row r="264" spans="1:19" s="28" customFormat="1" ht="14.25" x14ac:dyDescent="0.45">
      <c r="A264" s="960"/>
      <c r="B264" s="961"/>
      <c r="C264" s="255"/>
      <c r="D264" s="657"/>
      <c r="E264" s="657"/>
      <c r="F264" s="657"/>
      <c r="G264" s="658"/>
      <c r="H264" s="933"/>
      <c r="I264" s="524"/>
      <c r="J264" s="159"/>
      <c r="K264" s="160"/>
      <c r="L264" s="160"/>
      <c r="M264" s="160"/>
      <c r="N264" s="160"/>
      <c r="O264" s="544"/>
      <c r="P264" s="544"/>
      <c r="Q264" s="544"/>
      <c r="R264" s="774"/>
      <c r="S264" s="774"/>
    </row>
    <row r="265" spans="1:19" s="28" customFormat="1" ht="14.25" x14ac:dyDescent="0.45">
      <c r="A265" s="959" t="s">
        <v>149</v>
      </c>
      <c r="B265" s="961"/>
      <c r="C265" s="255"/>
      <c r="D265" s="657"/>
      <c r="E265" s="657"/>
      <c r="F265" s="657"/>
      <c r="G265" s="658"/>
      <c r="H265" s="933"/>
      <c r="I265" s="524"/>
      <c r="J265" s="159"/>
      <c r="K265" s="160"/>
      <c r="L265" s="160"/>
      <c r="M265" s="160"/>
      <c r="N265" s="160"/>
      <c r="O265" s="544"/>
      <c r="P265" s="544"/>
      <c r="Q265" s="544"/>
      <c r="R265" s="774"/>
      <c r="S265" s="774"/>
    </row>
    <row r="266" spans="1:19" s="28" customFormat="1" ht="14.25" x14ac:dyDescent="0.45">
      <c r="A266" s="455" t="s">
        <v>689</v>
      </c>
      <c r="B266" s="475" t="s">
        <v>690</v>
      </c>
      <c r="C266" s="255" t="s">
        <v>77</v>
      </c>
      <c r="D266" s="657">
        <v>300</v>
      </c>
      <c r="E266" s="657">
        <v>1000</v>
      </c>
      <c r="F266" s="657">
        <v>1000</v>
      </c>
      <c r="G266" s="658">
        <v>0</v>
      </c>
      <c r="H266" s="933"/>
      <c r="I266" s="524"/>
      <c r="J266" s="159"/>
      <c r="K266" s="160"/>
      <c r="L266" s="160"/>
      <c r="M266" s="160"/>
      <c r="N266" s="160"/>
      <c r="O266" s="751"/>
      <c r="P266" s="751"/>
      <c r="Q266" s="751"/>
      <c r="R266" s="774"/>
      <c r="S266" s="774"/>
    </row>
    <row r="267" spans="1:19" s="28" customFormat="1" ht="14.25" x14ac:dyDescent="0.45">
      <c r="A267" s="455" t="s">
        <v>689</v>
      </c>
      <c r="B267" s="475" t="s">
        <v>690</v>
      </c>
      <c r="C267" s="255">
        <v>11</v>
      </c>
      <c r="D267" s="657">
        <v>23</v>
      </c>
      <c r="E267" s="657">
        <v>23</v>
      </c>
      <c r="F267" s="657">
        <v>23</v>
      </c>
      <c r="G267" s="658">
        <v>0</v>
      </c>
      <c r="H267" s="933"/>
      <c r="I267" s="524"/>
      <c r="J267" s="159"/>
      <c r="K267" s="160"/>
      <c r="L267" s="160"/>
      <c r="M267" s="160"/>
      <c r="N267" s="160"/>
      <c r="O267" s="751"/>
      <c r="P267" s="751"/>
      <c r="Q267" s="751"/>
      <c r="R267" s="774"/>
      <c r="S267" s="774"/>
    </row>
    <row r="268" spans="1:19" s="28" customFormat="1" ht="14.25" x14ac:dyDescent="0.45">
      <c r="A268" s="455" t="s">
        <v>689</v>
      </c>
      <c r="B268" s="475" t="s">
        <v>690</v>
      </c>
      <c r="C268" s="255">
        <v>12</v>
      </c>
      <c r="D268" s="657">
        <v>0</v>
      </c>
      <c r="E268" s="657">
        <v>0</v>
      </c>
      <c r="F268" s="657">
        <v>0</v>
      </c>
      <c r="G268" s="658">
        <v>20</v>
      </c>
      <c r="H268" s="933"/>
      <c r="I268" s="524"/>
      <c r="J268" s="159"/>
      <c r="K268" s="160"/>
      <c r="L268" s="160"/>
      <c r="M268" s="160"/>
      <c r="N268" s="160"/>
      <c r="O268" s="753"/>
      <c r="P268" s="753"/>
      <c r="Q268" s="753"/>
      <c r="R268" s="774"/>
      <c r="S268" s="774"/>
    </row>
    <row r="269" spans="1:19" s="28" customFormat="1" ht="27.75" customHeight="1" x14ac:dyDescent="0.45">
      <c r="A269" s="455" t="s">
        <v>691</v>
      </c>
      <c r="B269" s="475" t="s">
        <v>692</v>
      </c>
      <c r="C269" s="255" t="s">
        <v>77</v>
      </c>
      <c r="D269" s="657">
        <v>300</v>
      </c>
      <c r="E269" s="657">
        <v>0</v>
      </c>
      <c r="F269" s="657">
        <v>0</v>
      </c>
      <c r="G269" s="658">
        <v>0</v>
      </c>
      <c r="H269" s="933"/>
      <c r="I269" s="524" t="s">
        <v>71</v>
      </c>
      <c r="J269" s="159"/>
      <c r="K269" s="160"/>
      <c r="L269" s="160"/>
      <c r="M269" s="160"/>
      <c r="N269" s="160"/>
      <c r="O269" s="774"/>
      <c r="P269" s="774"/>
      <c r="Q269" s="774"/>
      <c r="R269" s="774"/>
      <c r="S269" s="774"/>
    </row>
    <row r="270" spans="1:19" s="28" customFormat="1" ht="31.5" customHeight="1" x14ac:dyDescent="0.45">
      <c r="A270" s="455" t="s">
        <v>691</v>
      </c>
      <c r="B270" s="475" t="s">
        <v>692</v>
      </c>
      <c r="C270" s="255" t="s">
        <v>77</v>
      </c>
      <c r="D270" s="657">
        <v>9</v>
      </c>
      <c r="E270" s="657">
        <v>0</v>
      </c>
      <c r="F270" s="657">
        <v>0</v>
      </c>
      <c r="G270" s="658">
        <v>0</v>
      </c>
      <c r="H270" s="933"/>
      <c r="I270" s="524" t="s">
        <v>71</v>
      </c>
      <c r="J270" s="159"/>
      <c r="K270" s="160"/>
      <c r="L270" s="160"/>
      <c r="M270" s="160"/>
      <c r="N270" s="160"/>
      <c r="O270" s="774"/>
      <c r="P270" s="774"/>
      <c r="Q270" s="774"/>
      <c r="R270" s="774"/>
      <c r="S270" s="774"/>
    </row>
    <row r="271" spans="1:19" s="28" customFormat="1" ht="14.25" x14ac:dyDescent="0.45">
      <c r="A271" s="455" t="s">
        <v>693</v>
      </c>
      <c r="B271" s="475" t="s">
        <v>694</v>
      </c>
      <c r="C271" s="255" t="s">
        <v>77</v>
      </c>
      <c r="D271" s="657">
        <v>500</v>
      </c>
      <c r="E271" s="657">
        <v>500</v>
      </c>
      <c r="F271" s="657">
        <v>4100</v>
      </c>
      <c r="G271" s="658">
        <v>15100</v>
      </c>
      <c r="H271" s="933"/>
      <c r="I271" s="524"/>
      <c r="J271" s="159"/>
      <c r="K271" s="160"/>
      <c r="L271" s="160"/>
      <c r="M271" s="160"/>
      <c r="N271" s="160"/>
      <c r="O271" s="544"/>
      <c r="P271" s="544"/>
      <c r="Q271" s="544"/>
      <c r="R271" s="774"/>
      <c r="S271" s="774"/>
    </row>
    <row r="272" spans="1:19" s="28" customFormat="1" ht="14.25" x14ac:dyDescent="0.45">
      <c r="A272" s="455" t="s">
        <v>693</v>
      </c>
      <c r="B272" s="475" t="s">
        <v>694</v>
      </c>
      <c r="C272" s="255">
        <v>11</v>
      </c>
      <c r="D272" s="657">
        <v>253</v>
      </c>
      <c r="E272" s="657">
        <v>253</v>
      </c>
      <c r="F272" s="657">
        <v>253</v>
      </c>
      <c r="G272" s="658">
        <v>253</v>
      </c>
      <c r="H272" s="933"/>
      <c r="I272" s="524"/>
      <c r="J272" s="159"/>
      <c r="K272" s="160"/>
      <c r="L272" s="160"/>
      <c r="M272" s="160"/>
      <c r="N272" s="160"/>
      <c r="O272" s="544"/>
      <c r="P272" s="544"/>
      <c r="Q272" s="544"/>
      <c r="R272" s="544"/>
      <c r="S272" s="544"/>
    </row>
    <row r="273" spans="1:19" s="28" customFormat="1" ht="14.25" x14ac:dyDescent="0.45">
      <c r="A273" s="455" t="s">
        <v>693</v>
      </c>
      <c r="B273" s="475" t="s">
        <v>694</v>
      </c>
      <c r="C273" s="255">
        <v>12</v>
      </c>
      <c r="D273" s="657">
        <v>42</v>
      </c>
      <c r="E273" s="657">
        <v>42</v>
      </c>
      <c r="F273" s="657">
        <v>42</v>
      </c>
      <c r="G273" s="658">
        <v>42</v>
      </c>
      <c r="H273" s="933"/>
      <c r="I273" s="524"/>
      <c r="J273" s="159"/>
      <c r="K273" s="160"/>
      <c r="L273" s="160"/>
      <c r="M273" s="160"/>
      <c r="N273" s="160"/>
      <c r="O273" s="544"/>
      <c r="P273" s="544"/>
      <c r="Q273" s="544"/>
      <c r="R273" s="544"/>
      <c r="S273" s="544"/>
    </row>
    <row r="274" spans="1:19" s="28" customFormat="1" ht="14.25" x14ac:dyDescent="0.45">
      <c r="A274" s="455" t="s">
        <v>693</v>
      </c>
      <c r="B274" s="475" t="s">
        <v>694</v>
      </c>
      <c r="C274" s="255">
        <v>42</v>
      </c>
      <c r="D274" s="657">
        <v>42</v>
      </c>
      <c r="E274" s="657">
        <v>42</v>
      </c>
      <c r="F274" s="657">
        <v>42</v>
      </c>
      <c r="G274" s="658">
        <v>42</v>
      </c>
      <c r="H274" s="933"/>
      <c r="I274" s="524"/>
      <c r="J274" s="159"/>
      <c r="K274" s="160"/>
      <c r="L274" s="160"/>
      <c r="M274" s="160"/>
      <c r="N274" s="160"/>
      <c r="O274" s="544"/>
      <c r="P274" s="544"/>
      <c r="Q274" s="544"/>
      <c r="R274" s="544"/>
      <c r="S274" s="544"/>
    </row>
    <row r="275" spans="1:19" s="28" customFormat="1" ht="14.25" x14ac:dyDescent="0.45">
      <c r="A275" s="455" t="s">
        <v>992</v>
      </c>
      <c r="B275" s="475" t="s">
        <v>993</v>
      </c>
      <c r="C275" s="659" t="s">
        <v>77</v>
      </c>
      <c r="D275" s="657">
        <v>920</v>
      </c>
      <c r="E275" s="657">
        <v>230</v>
      </c>
      <c r="F275" s="657">
        <v>0</v>
      </c>
      <c r="G275" s="658">
        <v>0</v>
      </c>
      <c r="H275" s="933"/>
      <c r="I275" s="524"/>
      <c r="J275" s="159"/>
      <c r="K275" s="160"/>
      <c r="L275" s="160"/>
      <c r="M275" s="160"/>
      <c r="N275" s="160"/>
      <c r="O275" s="544"/>
      <c r="P275" s="544"/>
      <c r="Q275" s="544"/>
      <c r="R275" s="544"/>
      <c r="S275" s="544"/>
    </row>
    <row r="276" spans="1:19" s="28" customFormat="1" ht="14.25" x14ac:dyDescent="0.45">
      <c r="A276" s="455" t="s">
        <v>992</v>
      </c>
      <c r="B276" s="475" t="s">
        <v>993</v>
      </c>
      <c r="C276" s="659">
        <v>11</v>
      </c>
      <c r="D276" s="657">
        <v>18</v>
      </c>
      <c r="E276" s="657">
        <v>18</v>
      </c>
      <c r="F276" s="657">
        <v>0</v>
      </c>
      <c r="G276" s="658">
        <v>0</v>
      </c>
      <c r="H276" s="933"/>
      <c r="I276" s="524"/>
      <c r="J276" s="159"/>
      <c r="K276" s="160"/>
      <c r="L276" s="160"/>
      <c r="M276" s="160"/>
      <c r="N276" s="160"/>
      <c r="O276" s="544"/>
      <c r="P276" s="544"/>
      <c r="Q276" s="544"/>
      <c r="R276" s="544"/>
      <c r="S276" s="544"/>
    </row>
    <row r="277" spans="1:19" s="28" customFormat="1" ht="14.25" x14ac:dyDescent="0.45">
      <c r="A277" s="455" t="s">
        <v>992</v>
      </c>
      <c r="B277" s="475" t="s">
        <v>993</v>
      </c>
      <c r="C277" s="659">
        <v>11</v>
      </c>
      <c r="D277" s="657">
        <v>1950</v>
      </c>
      <c r="E277" s="657">
        <v>1950</v>
      </c>
      <c r="F277" s="657">
        <v>825</v>
      </c>
      <c r="G277" s="658">
        <v>825</v>
      </c>
      <c r="H277" s="933"/>
      <c r="I277" s="524"/>
      <c r="J277" s="159"/>
      <c r="K277" s="160"/>
      <c r="L277" s="160"/>
      <c r="M277" s="160"/>
      <c r="N277" s="160"/>
      <c r="O277" s="544"/>
      <c r="P277" s="544"/>
      <c r="Q277" s="544"/>
      <c r="R277" s="544"/>
      <c r="S277" s="544"/>
    </row>
    <row r="278" spans="1:19" s="28" customFormat="1" ht="14.25" x14ac:dyDescent="0.45">
      <c r="A278" s="455" t="s">
        <v>994</v>
      </c>
      <c r="B278" s="475" t="s">
        <v>1051</v>
      </c>
      <c r="C278" s="659" t="s">
        <v>77</v>
      </c>
      <c r="D278" s="657">
        <v>1000</v>
      </c>
      <c r="E278" s="657">
        <v>1000</v>
      </c>
      <c r="F278" s="657">
        <v>0</v>
      </c>
      <c r="G278" s="658">
        <v>0</v>
      </c>
      <c r="H278" s="933"/>
      <c r="I278" s="524"/>
      <c r="J278" s="159"/>
      <c r="K278" s="160"/>
      <c r="L278" s="160"/>
      <c r="M278" s="160"/>
      <c r="N278" s="160"/>
      <c r="O278" s="544"/>
      <c r="P278" s="544"/>
      <c r="Q278" s="544"/>
      <c r="R278" s="544"/>
      <c r="S278" s="544"/>
    </row>
    <row r="279" spans="1:19" s="28" customFormat="1" ht="14.25" x14ac:dyDescent="0.45">
      <c r="A279" s="455" t="s">
        <v>1083</v>
      </c>
      <c r="B279" s="475" t="s">
        <v>1087</v>
      </c>
      <c r="C279" s="659" t="s">
        <v>77</v>
      </c>
      <c r="D279" s="657">
        <v>500</v>
      </c>
      <c r="E279" s="657">
        <v>1000</v>
      </c>
      <c r="F279" s="657">
        <v>0</v>
      </c>
      <c r="G279" s="658">
        <v>0</v>
      </c>
      <c r="H279" s="933"/>
      <c r="I279" s="524" t="s">
        <v>71</v>
      </c>
      <c r="J279" s="524"/>
      <c r="K279" s="160"/>
      <c r="L279" s="160"/>
      <c r="M279" s="160"/>
      <c r="N279" s="160"/>
      <c r="O279" s="860"/>
      <c r="P279" s="860"/>
      <c r="Q279" s="860"/>
      <c r="R279" s="860"/>
      <c r="S279" s="860"/>
    </row>
    <row r="280" spans="1:19" s="28" customFormat="1" ht="14.25" x14ac:dyDescent="0.45">
      <c r="A280" s="455" t="s">
        <v>994</v>
      </c>
      <c r="B280" s="475" t="s">
        <v>1051</v>
      </c>
      <c r="C280" s="659">
        <v>11</v>
      </c>
      <c r="D280" s="657">
        <v>30</v>
      </c>
      <c r="E280" s="657">
        <v>30</v>
      </c>
      <c r="F280" s="657">
        <v>0</v>
      </c>
      <c r="G280" s="658">
        <v>0</v>
      </c>
      <c r="H280" s="933"/>
      <c r="I280" s="524"/>
      <c r="J280" s="159"/>
      <c r="K280" s="160"/>
      <c r="L280" s="160"/>
      <c r="M280" s="160"/>
      <c r="N280" s="160"/>
      <c r="O280" s="544"/>
      <c r="P280" s="544"/>
      <c r="Q280" s="544"/>
      <c r="R280" s="544"/>
      <c r="S280" s="544"/>
    </row>
    <row r="281" spans="1:19" s="28" customFormat="1" ht="14.25" x14ac:dyDescent="0.45">
      <c r="A281" s="455" t="s">
        <v>994</v>
      </c>
      <c r="B281" s="475" t="s">
        <v>1051</v>
      </c>
      <c r="C281" s="659">
        <v>11</v>
      </c>
      <c r="D281" s="657">
        <v>1950</v>
      </c>
      <c r="E281" s="657">
        <v>1950</v>
      </c>
      <c r="F281" s="657">
        <v>825</v>
      </c>
      <c r="G281" s="658">
        <v>825</v>
      </c>
      <c r="H281" s="933"/>
      <c r="I281" s="524"/>
      <c r="J281" s="159"/>
      <c r="K281" s="160"/>
      <c r="L281" s="160"/>
      <c r="M281" s="160"/>
      <c r="N281" s="160"/>
      <c r="O281" s="544"/>
      <c r="P281" s="544"/>
      <c r="Q281" s="544"/>
      <c r="R281" s="544"/>
      <c r="S281" s="544"/>
    </row>
    <row r="282" spans="1:19" s="28" customFormat="1" ht="14.25" x14ac:dyDescent="0.45">
      <c r="A282" s="455"/>
      <c r="B282" s="475"/>
      <c r="C282" s="255"/>
      <c r="D282" s="657"/>
      <c r="E282" s="657"/>
      <c r="F282" s="657"/>
      <c r="G282" s="658"/>
      <c r="H282" s="933"/>
      <c r="I282" s="524"/>
      <c r="J282" s="159"/>
      <c r="K282" s="160"/>
      <c r="L282" s="160"/>
      <c r="M282" s="160"/>
      <c r="N282" s="160"/>
      <c r="O282" s="160"/>
      <c r="P282" s="160"/>
      <c r="Q282" s="544"/>
      <c r="R282" s="774"/>
      <c r="S282" s="774"/>
    </row>
    <row r="283" spans="1:19" s="148" customFormat="1" ht="14.25" x14ac:dyDescent="0.45">
      <c r="A283" s="516" t="s">
        <v>164</v>
      </c>
      <c r="B283" s="333"/>
      <c r="C283" s="255"/>
      <c r="D283" s="512"/>
      <c r="E283" s="256"/>
      <c r="F283" s="256"/>
      <c r="G283" s="257"/>
      <c r="H283" s="933"/>
      <c r="I283" s="524"/>
      <c r="J283" s="159"/>
      <c r="K283" s="160"/>
      <c r="L283" s="160"/>
      <c r="M283" s="160"/>
      <c r="N283" s="160"/>
      <c r="O283" s="160"/>
      <c r="P283" s="160"/>
      <c r="Q283" s="544"/>
      <c r="R283" s="774"/>
      <c r="S283" s="774"/>
    </row>
    <row r="284" spans="1:19" s="148" customFormat="1" ht="14.25" x14ac:dyDescent="0.45">
      <c r="A284" s="959" t="s">
        <v>149</v>
      </c>
      <c r="B284" s="333"/>
      <c r="C284" s="255"/>
      <c r="D284" s="512"/>
      <c r="E284" s="256"/>
      <c r="F284" s="256"/>
      <c r="G284" s="257"/>
      <c r="H284" s="933"/>
      <c r="I284" s="524"/>
      <c r="J284" s="159"/>
      <c r="K284" s="160"/>
      <c r="L284" s="160"/>
      <c r="M284" s="160"/>
      <c r="N284" s="160"/>
      <c r="O284" s="160"/>
      <c r="P284" s="160"/>
      <c r="Q284" s="544"/>
      <c r="R284" s="774"/>
      <c r="S284" s="774"/>
    </row>
    <row r="285" spans="1:19" s="148" customFormat="1" ht="14.25" x14ac:dyDescent="0.45">
      <c r="A285" s="455" t="s">
        <v>678</v>
      </c>
      <c r="B285" s="475" t="s">
        <v>679</v>
      </c>
      <c r="C285" s="255" t="s">
        <v>77</v>
      </c>
      <c r="D285" s="657">
        <v>200</v>
      </c>
      <c r="E285" s="657">
        <v>100</v>
      </c>
      <c r="F285" s="657">
        <v>0</v>
      </c>
      <c r="G285" s="658">
        <v>0</v>
      </c>
      <c r="H285" s="933"/>
      <c r="I285" s="524" t="s">
        <v>71</v>
      </c>
      <c r="J285" s="159"/>
      <c r="K285" s="160"/>
      <c r="L285" s="160"/>
      <c r="M285" s="160"/>
      <c r="N285" s="160"/>
      <c r="O285" s="160"/>
      <c r="P285" s="160"/>
      <c r="Q285" s="721"/>
      <c r="R285" s="774"/>
      <c r="S285" s="774"/>
    </row>
    <row r="286" spans="1:19" s="148" customFormat="1" ht="14.25" x14ac:dyDescent="0.45">
      <c r="A286" s="455" t="s">
        <v>678</v>
      </c>
      <c r="B286" s="475" t="s">
        <v>679</v>
      </c>
      <c r="C286" s="255" t="s">
        <v>77</v>
      </c>
      <c r="D286" s="657">
        <v>200</v>
      </c>
      <c r="E286" s="657">
        <v>200</v>
      </c>
      <c r="F286" s="657">
        <v>0</v>
      </c>
      <c r="G286" s="658">
        <v>0</v>
      </c>
      <c r="H286" s="933"/>
      <c r="I286" s="524" t="s">
        <v>71</v>
      </c>
      <c r="J286" s="159"/>
      <c r="K286" s="160"/>
      <c r="L286" s="160"/>
      <c r="M286" s="160"/>
      <c r="N286" s="160"/>
      <c r="O286" s="160"/>
      <c r="P286" s="160"/>
      <c r="Q286" s="721"/>
      <c r="R286" s="774"/>
      <c r="S286" s="774"/>
    </row>
    <row r="287" spans="1:19" s="148" customFormat="1" ht="14.25" x14ac:dyDescent="0.45">
      <c r="A287" s="455" t="s">
        <v>680</v>
      </c>
      <c r="B287" s="475" t="s">
        <v>681</v>
      </c>
      <c r="C287" s="255" t="s">
        <v>77</v>
      </c>
      <c r="D287" s="657">
        <v>200</v>
      </c>
      <c r="E287" s="657">
        <v>200</v>
      </c>
      <c r="F287" s="657">
        <v>0</v>
      </c>
      <c r="G287" s="658">
        <v>0</v>
      </c>
      <c r="H287" s="933"/>
      <c r="I287" s="524"/>
      <c r="J287" s="159"/>
      <c r="K287" s="160"/>
      <c r="L287" s="160"/>
      <c r="M287" s="160"/>
      <c r="N287" s="160"/>
      <c r="O287" s="774"/>
      <c r="P287" s="774"/>
      <c r="Q287" s="785"/>
      <c r="R287" s="774"/>
      <c r="S287" s="774"/>
    </row>
    <row r="288" spans="1:19" s="148" customFormat="1" ht="14.25" x14ac:dyDescent="0.45">
      <c r="A288" s="455" t="s">
        <v>680</v>
      </c>
      <c r="B288" s="475" t="s">
        <v>681</v>
      </c>
      <c r="C288" s="255">
        <v>11</v>
      </c>
      <c r="D288" s="657">
        <v>385</v>
      </c>
      <c r="E288" s="657">
        <v>385</v>
      </c>
      <c r="F288" s="657">
        <v>0</v>
      </c>
      <c r="G288" s="658">
        <v>0</v>
      </c>
      <c r="H288" s="933"/>
      <c r="I288" s="524"/>
      <c r="J288" s="159"/>
      <c r="K288" s="160"/>
      <c r="L288" s="160"/>
      <c r="M288" s="160"/>
      <c r="N288" s="160"/>
      <c r="O288" s="808"/>
      <c r="P288" s="808"/>
      <c r="Q288" s="809"/>
      <c r="R288" s="808"/>
      <c r="S288" s="808"/>
    </row>
    <row r="289" spans="1:19" s="148" customFormat="1" ht="14.25" x14ac:dyDescent="0.45">
      <c r="A289" s="455"/>
      <c r="B289" s="475"/>
      <c r="C289" s="255"/>
      <c r="D289" s="657"/>
      <c r="E289" s="657"/>
      <c r="F289" s="657"/>
      <c r="G289" s="658"/>
      <c r="H289" s="933"/>
      <c r="I289" s="524"/>
      <c r="J289" s="159"/>
      <c r="K289" s="160"/>
      <c r="L289" s="160"/>
      <c r="M289" s="160"/>
      <c r="N289" s="160"/>
      <c r="O289" s="808"/>
      <c r="P289" s="808"/>
      <c r="Q289" s="809"/>
      <c r="R289" s="808"/>
      <c r="S289" s="808"/>
    </row>
    <row r="290" spans="1:19" s="148" customFormat="1" ht="14.25" x14ac:dyDescent="0.45">
      <c r="A290" s="958" t="s">
        <v>676</v>
      </c>
      <c r="B290" s="971"/>
      <c r="C290" s="255"/>
      <c r="D290" s="512"/>
      <c r="E290" s="512"/>
      <c r="F290" s="512"/>
      <c r="G290" s="513"/>
      <c r="H290" s="933"/>
      <c r="I290" s="524"/>
      <c r="J290" s="159"/>
      <c r="K290" s="160"/>
      <c r="L290" s="160"/>
      <c r="M290" s="160"/>
      <c r="N290" s="160"/>
      <c r="O290" s="808"/>
      <c r="P290" s="808"/>
      <c r="Q290" s="809"/>
      <c r="R290" s="808"/>
      <c r="S290" s="808"/>
    </row>
    <row r="291" spans="1:19" s="148" customFormat="1" ht="14.25" x14ac:dyDescent="0.45">
      <c r="A291" s="959" t="s">
        <v>149</v>
      </c>
      <c r="B291" s="971"/>
      <c r="C291" s="255"/>
      <c r="D291" s="512"/>
      <c r="E291" s="512"/>
      <c r="F291" s="512"/>
      <c r="G291" s="513"/>
      <c r="H291" s="933"/>
      <c r="I291" s="524"/>
      <c r="J291" s="159"/>
      <c r="K291" s="160"/>
      <c r="L291" s="160"/>
      <c r="M291" s="160"/>
      <c r="N291" s="160"/>
      <c r="O291" s="808"/>
      <c r="P291" s="808"/>
      <c r="Q291" s="809"/>
      <c r="R291" s="808"/>
      <c r="S291" s="808"/>
    </row>
    <row r="292" spans="1:19" s="148" customFormat="1" ht="28.5" x14ac:dyDescent="0.45">
      <c r="A292" s="455" t="s">
        <v>677</v>
      </c>
      <c r="B292" s="475" t="s">
        <v>262</v>
      </c>
      <c r="C292" s="255" t="s">
        <v>77</v>
      </c>
      <c r="D292" s="657">
        <v>0</v>
      </c>
      <c r="E292" s="657">
        <v>540</v>
      </c>
      <c r="F292" s="657">
        <v>540</v>
      </c>
      <c r="G292" s="658">
        <v>0</v>
      </c>
      <c r="H292" s="933"/>
      <c r="I292" s="524" t="s">
        <v>71</v>
      </c>
      <c r="J292" s="159"/>
      <c r="K292" s="160"/>
      <c r="L292" s="160"/>
      <c r="M292" s="160"/>
      <c r="N292" s="160"/>
      <c r="O292" s="808"/>
      <c r="P292" s="808"/>
      <c r="Q292" s="809"/>
      <c r="R292" s="808"/>
      <c r="S292" s="808"/>
    </row>
    <row r="293" spans="1:19" s="148" customFormat="1" ht="28.5" x14ac:dyDescent="0.45">
      <c r="A293" s="455" t="s">
        <v>677</v>
      </c>
      <c r="B293" s="475" t="s">
        <v>262</v>
      </c>
      <c r="C293" s="255">
        <v>11</v>
      </c>
      <c r="D293" s="657">
        <v>0</v>
      </c>
      <c r="E293" s="657">
        <v>190</v>
      </c>
      <c r="F293" s="657">
        <v>190</v>
      </c>
      <c r="G293" s="658">
        <v>0</v>
      </c>
      <c r="H293" s="933"/>
      <c r="I293" s="524" t="s">
        <v>71</v>
      </c>
      <c r="J293" s="159"/>
      <c r="K293" s="160"/>
      <c r="L293" s="160"/>
      <c r="M293" s="160"/>
      <c r="N293" s="160"/>
      <c r="O293" s="808"/>
      <c r="P293" s="808"/>
      <c r="Q293" s="809"/>
      <c r="R293" s="808"/>
      <c r="S293" s="808"/>
    </row>
    <row r="294" spans="1:19" s="148" customFormat="1" ht="14.25" x14ac:dyDescent="0.45">
      <c r="A294" s="494"/>
      <c r="B294" s="971"/>
      <c r="C294" s="255"/>
      <c r="D294" s="512"/>
      <c r="E294" s="512"/>
      <c r="F294" s="512"/>
      <c r="G294" s="513"/>
      <c r="H294" s="933"/>
      <c r="I294" s="524"/>
      <c r="J294" s="159"/>
      <c r="K294" s="160"/>
      <c r="L294" s="160"/>
      <c r="M294" s="160"/>
      <c r="N294" s="160"/>
      <c r="O294" s="808"/>
      <c r="P294" s="808"/>
      <c r="Q294" s="809"/>
      <c r="R294" s="808"/>
      <c r="S294" s="808"/>
    </row>
    <row r="295" spans="1:19" s="148" customFormat="1" ht="14.25" x14ac:dyDescent="0.45">
      <c r="A295" s="957" t="s">
        <v>663</v>
      </c>
      <c r="B295" s="973"/>
      <c r="C295" s="255"/>
      <c r="D295" s="512"/>
      <c r="E295" s="512"/>
      <c r="F295" s="512"/>
      <c r="G295" s="513"/>
      <c r="H295" s="933"/>
      <c r="I295" s="524"/>
      <c r="J295" s="159"/>
      <c r="K295" s="160"/>
      <c r="L295" s="160"/>
      <c r="M295" s="160"/>
      <c r="N295" s="160"/>
      <c r="O295" s="808"/>
      <c r="P295" s="808"/>
      <c r="Q295" s="809"/>
      <c r="R295" s="808"/>
      <c r="S295" s="808"/>
    </row>
    <row r="296" spans="1:19" s="148" customFormat="1" ht="14.25" x14ac:dyDescent="0.45">
      <c r="A296" s="959" t="s">
        <v>664</v>
      </c>
      <c r="B296" s="961"/>
      <c r="C296" s="255"/>
      <c r="D296" s="512"/>
      <c r="E296" s="512"/>
      <c r="F296" s="512"/>
      <c r="G296" s="513"/>
      <c r="H296" s="933"/>
      <c r="I296" s="524"/>
      <c r="J296" s="159"/>
      <c r="K296" s="160"/>
      <c r="L296" s="160"/>
      <c r="M296" s="160"/>
      <c r="N296" s="160"/>
      <c r="O296" s="808"/>
      <c r="P296" s="808"/>
      <c r="Q296" s="809"/>
      <c r="R296" s="808"/>
      <c r="S296" s="808"/>
    </row>
    <row r="297" spans="1:19" s="148" customFormat="1" ht="14.25" x14ac:dyDescent="0.45">
      <c r="A297" s="455" t="s">
        <v>665</v>
      </c>
      <c r="B297" s="475" t="s">
        <v>666</v>
      </c>
      <c r="C297" s="255" t="s">
        <v>77</v>
      </c>
      <c r="D297" s="657">
        <v>5500</v>
      </c>
      <c r="E297" s="657">
        <v>0</v>
      </c>
      <c r="F297" s="657">
        <v>0</v>
      </c>
      <c r="G297" s="658">
        <v>0</v>
      </c>
      <c r="H297" s="933"/>
      <c r="I297" s="524" t="s">
        <v>71</v>
      </c>
      <c r="J297" s="159"/>
      <c r="K297" s="160"/>
      <c r="L297" s="160"/>
      <c r="M297" s="160"/>
      <c r="N297" s="160"/>
      <c r="O297" s="808"/>
      <c r="P297" s="808"/>
      <c r="Q297" s="809"/>
      <c r="R297" s="808"/>
      <c r="S297" s="808"/>
    </row>
    <row r="298" spans="1:19" s="148" customFormat="1" ht="14.25" x14ac:dyDescent="0.45">
      <c r="A298" s="455" t="s">
        <v>665</v>
      </c>
      <c r="B298" s="475" t="s">
        <v>666</v>
      </c>
      <c r="C298" s="255" t="s">
        <v>77</v>
      </c>
      <c r="D298" s="657">
        <v>200</v>
      </c>
      <c r="E298" s="657">
        <v>0</v>
      </c>
      <c r="F298" s="657">
        <v>0</v>
      </c>
      <c r="G298" s="658">
        <v>0</v>
      </c>
      <c r="H298" s="933"/>
      <c r="I298" s="524" t="s">
        <v>71</v>
      </c>
      <c r="J298" s="159"/>
      <c r="K298" s="160"/>
      <c r="L298" s="160"/>
      <c r="M298" s="160"/>
      <c r="N298" s="160"/>
      <c r="O298" s="808"/>
      <c r="P298" s="808"/>
      <c r="Q298" s="809"/>
      <c r="R298" s="808"/>
      <c r="S298" s="808"/>
    </row>
    <row r="299" spans="1:19" s="148" customFormat="1" ht="14.25" x14ac:dyDescent="0.45">
      <c r="A299" s="455" t="s">
        <v>665</v>
      </c>
      <c r="B299" s="475" t="s">
        <v>666</v>
      </c>
      <c r="C299" s="255">
        <v>50</v>
      </c>
      <c r="D299" s="657">
        <v>0</v>
      </c>
      <c r="E299" s="657">
        <v>-60</v>
      </c>
      <c r="F299" s="657">
        <v>-60</v>
      </c>
      <c r="G299" s="658">
        <v>-60</v>
      </c>
      <c r="H299" s="933"/>
      <c r="I299" s="524" t="s">
        <v>71</v>
      </c>
      <c r="J299" s="159"/>
      <c r="K299" s="160"/>
      <c r="L299" s="160"/>
      <c r="M299" s="160"/>
      <c r="N299" s="160"/>
      <c r="O299" s="808"/>
      <c r="P299" s="808"/>
      <c r="Q299" s="809"/>
      <c r="R299" s="808"/>
      <c r="S299" s="808"/>
    </row>
    <row r="300" spans="1:19" s="148" customFormat="1" ht="14.25" x14ac:dyDescent="0.45">
      <c r="A300" s="960"/>
      <c r="B300" s="961"/>
      <c r="C300" s="255"/>
      <c r="D300" s="657"/>
      <c r="E300" s="657"/>
      <c r="F300" s="657"/>
      <c r="G300" s="658"/>
      <c r="H300" s="933"/>
      <c r="I300" s="524"/>
      <c r="J300" s="159"/>
      <c r="K300" s="160"/>
      <c r="L300" s="160"/>
      <c r="M300" s="160"/>
      <c r="N300" s="160"/>
      <c r="O300" s="808"/>
      <c r="P300" s="808"/>
      <c r="Q300" s="809"/>
      <c r="R300" s="808"/>
      <c r="S300" s="808"/>
    </row>
    <row r="301" spans="1:19" s="148" customFormat="1" ht="14.25" x14ac:dyDescent="0.45">
      <c r="A301" s="959" t="s">
        <v>149</v>
      </c>
      <c r="B301" s="961"/>
      <c r="C301" s="255"/>
      <c r="D301" s="657"/>
      <c r="E301" s="657"/>
      <c r="F301" s="657"/>
      <c r="G301" s="658"/>
      <c r="H301" s="933"/>
      <c r="I301" s="524"/>
      <c r="J301" s="159"/>
      <c r="K301" s="160"/>
      <c r="L301" s="160"/>
      <c r="M301" s="160"/>
      <c r="N301" s="160"/>
      <c r="O301" s="808"/>
      <c r="P301" s="808"/>
      <c r="Q301" s="809"/>
      <c r="R301" s="808"/>
      <c r="S301" s="808"/>
    </row>
    <row r="302" spans="1:19" s="148" customFormat="1" ht="14.25" x14ac:dyDescent="0.45">
      <c r="A302" s="455" t="s">
        <v>667</v>
      </c>
      <c r="B302" s="475" t="s">
        <v>668</v>
      </c>
      <c r="C302" s="255" t="s">
        <v>77</v>
      </c>
      <c r="D302" s="657">
        <v>1800</v>
      </c>
      <c r="E302" s="657">
        <v>14090</v>
      </c>
      <c r="F302" s="657">
        <v>290</v>
      </c>
      <c r="G302" s="658">
        <v>0</v>
      </c>
      <c r="H302" s="933"/>
      <c r="I302" s="524" t="s">
        <v>71</v>
      </c>
      <c r="J302" s="159"/>
      <c r="K302" s="160"/>
      <c r="L302" s="160"/>
      <c r="M302" s="160"/>
      <c r="N302" s="160"/>
      <c r="O302" s="808"/>
      <c r="P302" s="808"/>
      <c r="Q302" s="809"/>
      <c r="R302" s="808"/>
      <c r="S302" s="808"/>
    </row>
    <row r="303" spans="1:19" s="148" customFormat="1" ht="14.25" x14ac:dyDescent="0.45">
      <c r="A303" s="455" t="s">
        <v>667</v>
      </c>
      <c r="B303" s="475" t="s">
        <v>668</v>
      </c>
      <c r="C303" s="255" t="s">
        <v>177</v>
      </c>
      <c r="D303" s="657">
        <v>-900</v>
      </c>
      <c r="E303" s="657">
        <v>-5545</v>
      </c>
      <c r="F303" s="657">
        <v>-145</v>
      </c>
      <c r="G303" s="658">
        <v>0</v>
      </c>
      <c r="H303" s="933"/>
      <c r="I303" s="524" t="s">
        <v>71</v>
      </c>
      <c r="J303" s="159"/>
      <c r="K303" s="160"/>
      <c r="L303" s="160"/>
      <c r="M303" s="160"/>
      <c r="N303" s="160"/>
      <c r="O303" s="808"/>
      <c r="P303" s="808"/>
      <c r="Q303" s="809"/>
      <c r="R303" s="808"/>
      <c r="S303" s="808"/>
    </row>
    <row r="304" spans="1:19" s="148" customFormat="1" ht="14.25" x14ac:dyDescent="0.45">
      <c r="A304" s="455" t="s">
        <v>667</v>
      </c>
      <c r="B304" s="475" t="s">
        <v>668</v>
      </c>
      <c r="C304" s="255" t="s">
        <v>77</v>
      </c>
      <c r="D304" s="657">
        <v>260</v>
      </c>
      <c r="E304" s="657">
        <v>260</v>
      </c>
      <c r="F304" s="657">
        <v>260</v>
      </c>
      <c r="G304" s="658">
        <v>0</v>
      </c>
      <c r="H304" s="933"/>
      <c r="I304" s="524" t="s">
        <v>71</v>
      </c>
      <c r="J304" s="159"/>
      <c r="K304" s="160"/>
      <c r="L304" s="160"/>
      <c r="M304" s="160"/>
      <c r="N304" s="160"/>
      <c r="O304" s="808"/>
      <c r="P304" s="808"/>
      <c r="Q304" s="809"/>
      <c r="R304" s="808"/>
      <c r="S304" s="808"/>
    </row>
    <row r="305" spans="1:19" s="148" customFormat="1" ht="14.25" x14ac:dyDescent="0.45">
      <c r="A305" s="455" t="s">
        <v>667</v>
      </c>
      <c r="B305" s="475" t="s">
        <v>668</v>
      </c>
      <c r="C305" s="255">
        <v>50</v>
      </c>
      <c r="D305" s="657">
        <v>0</v>
      </c>
      <c r="E305" s="657">
        <v>0</v>
      </c>
      <c r="F305" s="657">
        <v>270</v>
      </c>
      <c r="G305" s="658">
        <v>270</v>
      </c>
      <c r="H305" s="933"/>
      <c r="I305" s="524" t="s">
        <v>71</v>
      </c>
      <c r="J305" s="159"/>
      <c r="K305" s="160"/>
      <c r="L305" s="160"/>
      <c r="M305" s="160"/>
      <c r="N305" s="160"/>
      <c r="O305" s="808"/>
      <c r="P305" s="808"/>
      <c r="Q305" s="809"/>
      <c r="R305" s="808"/>
      <c r="S305" s="808"/>
    </row>
    <row r="306" spans="1:19" s="148" customFormat="1" ht="14.25" x14ac:dyDescent="0.45">
      <c r="A306" s="455" t="s">
        <v>669</v>
      </c>
      <c r="B306" s="475" t="s">
        <v>670</v>
      </c>
      <c r="C306" s="255" t="s">
        <v>77</v>
      </c>
      <c r="D306" s="657">
        <v>150</v>
      </c>
      <c r="E306" s="657">
        <v>0</v>
      </c>
      <c r="F306" s="657">
        <v>0</v>
      </c>
      <c r="G306" s="658">
        <v>0</v>
      </c>
      <c r="H306" s="933"/>
      <c r="I306" s="524" t="s">
        <v>71</v>
      </c>
      <c r="J306" s="159"/>
      <c r="K306" s="160"/>
      <c r="L306" s="160"/>
      <c r="M306" s="160"/>
      <c r="N306" s="160"/>
      <c r="O306" s="808"/>
      <c r="P306" s="808"/>
      <c r="Q306" s="809"/>
      <c r="R306" s="808"/>
      <c r="S306" s="808"/>
    </row>
    <row r="307" spans="1:19" s="148" customFormat="1" ht="14.25" x14ac:dyDescent="0.45">
      <c r="A307" s="455" t="s">
        <v>669</v>
      </c>
      <c r="B307" s="475" t="s">
        <v>670</v>
      </c>
      <c r="C307" s="255">
        <v>50</v>
      </c>
      <c r="D307" s="657">
        <v>100</v>
      </c>
      <c r="E307" s="657">
        <v>0</v>
      </c>
      <c r="F307" s="657">
        <v>0</v>
      </c>
      <c r="G307" s="658">
        <v>0</v>
      </c>
      <c r="H307" s="933"/>
      <c r="I307" s="524" t="s">
        <v>71</v>
      </c>
      <c r="J307" s="159"/>
      <c r="K307" s="160"/>
      <c r="L307" s="160"/>
      <c r="M307" s="160"/>
      <c r="N307" s="160"/>
      <c r="O307" s="808"/>
      <c r="P307" s="808"/>
      <c r="Q307" s="809"/>
      <c r="R307" s="808"/>
      <c r="S307" s="808"/>
    </row>
    <row r="308" spans="1:19" s="148" customFormat="1" ht="28.5" x14ac:dyDescent="0.45">
      <c r="A308" s="455" t="s">
        <v>671</v>
      </c>
      <c r="B308" s="475" t="s">
        <v>761</v>
      </c>
      <c r="C308" s="255" t="s">
        <v>77</v>
      </c>
      <c r="D308" s="657">
        <v>4900</v>
      </c>
      <c r="E308" s="657">
        <v>16560</v>
      </c>
      <c r="F308" s="657">
        <v>22080</v>
      </c>
      <c r="G308" s="658">
        <v>21240</v>
      </c>
      <c r="H308" s="933"/>
      <c r="I308" s="524" t="s">
        <v>71</v>
      </c>
      <c r="J308" s="159"/>
      <c r="K308" s="160"/>
      <c r="L308" s="160"/>
      <c r="M308" s="160"/>
      <c r="N308" s="160"/>
      <c r="O308" s="808"/>
      <c r="P308" s="808"/>
      <c r="Q308" s="809"/>
      <c r="R308" s="808"/>
      <c r="S308" s="808"/>
    </row>
    <row r="309" spans="1:19" s="148" customFormat="1" ht="28.5" x14ac:dyDescent="0.45">
      <c r="A309" s="455" t="s">
        <v>671</v>
      </c>
      <c r="B309" s="475" t="s">
        <v>761</v>
      </c>
      <c r="C309" s="255" t="s">
        <v>77</v>
      </c>
      <c r="D309" s="657">
        <v>385</v>
      </c>
      <c r="E309" s="657">
        <v>770</v>
      </c>
      <c r="F309" s="657">
        <v>770</v>
      </c>
      <c r="G309" s="658">
        <v>770</v>
      </c>
      <c r="H309" s="933"/>
      <c r="I309" s="524" t="s">
        <v>71</v>
      </c>
      <c r="J309" s="159"/>
      <c r="K309" s="160"/>
      <c r="L309" s="160"/>
      <c r="M309" s="160"/>
      <c r="N309" s="160"/>
      <c r="O309" s="808"/>
      <c r="P309" s="808"/>
      <c r="Q309" s="809"/>
      <c r="R309" s="808"/>
      <c r="S309" s="808"/>
    </row>
    <row r="310" spans="1:19" s="148" customFormat="1" ht="14.25" x14ac:dyDescent="0.45">
      <c r="A310" s="455" t="s">
        <v>672</v>
      </c>
      <c r="B310" s="475" t="s">
        <v>309</v>
      </c>
      <c r="C310" s="255" t="s">
        <v>77</v>
      </c>
      <c r="D310" s="657">
        <v>0</v>
      </c>
      <c r="E310" s="657">
        <v>9000</v>
      </c>
      <c r="F310" s="657">
        <v>9000</v>
      </c>
      <c r="G310" s="658">
        <v>9000</v>
      </c>
      <c r="H310" s="933"/>
      <c r="I310" s="524"/>
      <c r="J310" s="159"/>
      <c r="K310" s="160"/>
      <c r="L310" s="160"/>
      <c r="M310" s="160"/>
      <c r="N310" s="160"/>
      <c r="O310" s="808"/>
      <c r="P310" s="808"/>
      <c r="Q310" s="809"/>
      <c r="R310" s="808"/>
      <c r="S310" s="808"/>
    </row>
    <row r="311" spans="1:19" s="148" customFormat="1" ht="14.25" x14ac:dyDescent="0.45">
      <c r="A311" s="455" t="s">
        <v>672</v>
      </c>
      <c r="B311" s="475" t="s">
        <v>309</v>
      </c>
      <c r="C311" s="255">
        <v>11</v>
      </c>
      <c r="D311" s="657">
        <v>770</v>
      </c>
      <c r="E311" s="657">
        <v>770</v>
      </c>
      <c r="F311" s="657">
        <v>770</v>
      </c>
      <c r="G311" s="658">
        <v>770</v>
      </c>
      <c r="H311" s="933"/>
      <c r="I311" s="524"/>
      <c r="J311" s="159"/>
      <c r="K311" s="160"/>
      <c r="L311" s="160"/>
      <c r="M311" s="160"/>
      <c r="N311" s="160"/>
      <c r="O311" s="808"/>
      <c r="P311" s="808"/>
      <c r="Q311" s="809"/>
      <c r="R311" s="808"/>
      <c r="S311" s="808"/>
    </row>
    <row r="312" spans="1:19" s="148" customFormat="1" ht="14.25" x14ac:dyDescent="0.45">
      <c r="A312" s="455" t="s">
        <v>672</v>
      </c>
      <c r="B312" s="475" t="s">
        <v>309</v>
      </c>
      <c r="C312" s="255">
        <v>50</v>
      </c>
      <c r="D312" s="657">
        <v>0</v>
      </c>
      <c r="E312" s="657">
        <v>0</v>
      </c>
      <c r="F312" s="657">
        <v>450</v>
      </c>
      <c r="G312" s="658">
        <v>900</v>
      </c>
      <c r="H312" s="933"/>
      <c r="I312" s="524"/>
      <c r="J312" s="159"/>
      <c r="K312" s="160"/>
      <c r="L312" s="160"/>
      <c r="M312" s="160"/>
      <c r="N312" s="160"/>
      <c r="O312" s="808"/>
      <c r="P312" s="808"/>
      <c r="Q312" s="809"/>
      <c r="R312" s="808"/>
      <c r="S312" s="808"/>
    </row>
    <row r="313" spans="1:19" s="148" customFormat="1" ht="28.5" x14ac:dyDescent="0.45">
      <c r="A313" s="455" t="s">
        <v>1090</v>
      </c>
      <c r="B313" s="475" t="s">
        <v>1093</v>
      </c>
      <c r="C313" s="255" t="s">
        <v>77</v>
      </c>
      <c r="D313" s="657">
        <v>500</v>
      </c>
      <c r="E313" s="657">
        <v>9000</v>
      </c>
      <c r="F313" s="657"/>
      <c r="G313" s="658"/>
      <c r="H313" s="933"/>
      <c r="I313" s="524" t="s">
        <v>71</v>
      </c>
      <c r="J313" s="159"/>
      <c r="K313" s="160"/>
      <c r="L313" s="160"/>
      <c r="M313" s="160"/>
      <c r="N313" s="160"/>
      <c r="O313" s="544"/>
      <c r="P313" s="544"/>
      <c r="Q313" s="721"/>
      <c r="R313" s="544"/>
      <c r="S313" s="544"/>
    </row>
    <row r="314" spans="1:19" s="148" customFormat="1" ht="28.5" x14ac:dyDescent="0.45">
      <c r="A314" s="455" t="s">
        <v>1090</v>
      </c>
      <c r="B314" s="475" t="s">
        <v>1093</v>
      </c>
      <c r="C314" s="255" t="s">
        <v>77</v>
      </c>
      <c r="D314" s="657">
        <v>0</v>
      </c>
      <c r="E314" s="657">
        <v>770</v>
      </c>
      <c r="F314" s="657"/>
      <c r="G314" s="658"/>
      <c r="H314" s="933"/>
      <c r="I314" s="524" t="s">
        <v>71</v>
      </c>
      <c r="J314" s="159"/>
      <c r="K314" s="160"/>
      <c r="L314" s="160"/>
      <c r="M314" s="160"/>
      <c r="N314" s="160"/>
      <c r="O314" s="544"/>
      <c r="P314" s="544"/>
      <c r="Q314" s="721"/>
      <c r="R314" s="544"/>
      <c r="S314" s="544"/>
    </row>
    <row r="315" spans="1:19" s="148" customFormat="1" ht="14.25" x14ac:dyDescent="0.45">
      <c r="A315" s="455" t="s">
        <v>1090</v>
      </c>
      <c r="B315" s="475" t="s">
        <v>309</v>
      </c>
      <c r="C315" s="255">
        <v>50</v>
      </c>
      <c r="D315" s="657"/>
      <c r="E315" s="657"/>
      <c r="F315" s="657"/>
      <c r="G315" s="658"/>
      <c r="H315" s="933"/>
      <c r="I315" s="524"/>
      <c r="J315" s="159"/>
      <c r="K315" s="160"/>
      <c r="L315" s="160"/>
      <c r="M315" s="160"/>
      <c r="N315" s="160"/>
      <c r="O315" s="544"/>
      <c r="P315" s="544"/>
      <c r="Q315" s="721"/>
      <c r="R315" s="544"/>
      <c r="S315" s="544"/>
    </row>
    <row r="316" spans="1:19" s="148" customFormat="1" ht="14.25" x14ac:dyDescent="0.45">
      <c r="A316" s="455" t="s">
        <v>673</v>
      </c>
      <c r="B316" s="475" t="s">
        <v>674</v>
      </c>
      <c r="C316" s="255" t="s">
        <v>77</v>
      </c>
      <c r="D316" s="657">
        <v>0</v>
      </c>
      <c r="E316" s="657">
        <v>5000</v>
      </c>
      <c r="F316" s="657">
        <v>5000</v>
      </c>
      <c r="G316" s="658">
        <v>5000</v>
      </c>
      <c r="H316" s="933"/>
      <c r="I316" s="524"/>
      <c r="J316" s="159"/>
      <c r="K316" s="160"/>
      <c r="L316" s="160"/>
      <c r="M316" s="160"/>
      <c r="N316" s="160"/>
      <c r="O316" s="808"/>
      <c r="P316" s="808"/>
      <c r="Q316" s="809"/>
      <c r="R316" s="808"/>
      <c r="S316" s="808"/>
    </row>
    <row r="317" spans="1:19" s="148" customFormat="1" ht="14.25" x14ac:dyDescent="0.45">
      <c r="A317" s="455" t="s">
        <v>673</v>
      </c>
      <c r="B317" s="475" t="s">
        <v>674</v>
      </c>
      <c r="C317" s="255">
        <v>11</v>
      </c>
      <c r="D317" s="657">
        <v>385</v>
      </c>
      <c r="E317" s="657">
        <v>385</v>
      </c>
      <c r="F317" s="657">
        <v>385</v>
      </c>
      <c r="G317" s="658">
        <v>385</v>
      </c>
      <c r="H317" s="933"/>
      <c r="I317" s="524"/>
      <c r="J317" s="159"/>
      <c r="K317" s="160"/>
      <c r="L317" s="160"/>
      <c r="M317" s="160"/>
      <c r="N317" s="160"/>
      <c r="O317" s="808"/>
      <c r="P317" s="808"/>
      <c r="Q317" s="809"/>
      <c r="R317" s="808"/>
      <c r="S317" s="808"/>
    </row>
    <row r="318" spans="1:19" s="148" customFormat="1" ht="14.25" x14ac:dyDescent="0.45">
      <c r="A318" s="455" t="s">
        <v>675</v>
      </c>
      <c r="B318" s="475" t="s">
        <v>307</v>
      </c>
      <c r="C318" s="255" t="s">
        <v>77</v>
      </c>
      <c r="D318" s="657">
        <v>350</v>
      </c>
      <c r="E318" s="657">
        <v>150</v>
      </c>
      <c r="F318" s="657">
        <v>0</v>
      </c>
      <c r="G318" s="658">
        <v>0</v>
      </c>
      <c r="H318" s="933"/>
      <c r="I318" s="524"/>
      <c r="J318" s="159"/>
      <c r="K318" s="160"/>
      <c r="L318" s="160"/>
      <c r="M318" s="160"/>
      <c r="N318" s="160"/>
      <c r="O318" s="808"/>
      <c r="P318" s="808"/>
      <c r="Q318" s="809"/>
      <c r="R318" s="808"/>
      <c r="S318" s="808"/>
    </row>
    <row r="319" spans="1:19" s="148" customFormat="1" ht="14.25" x14ac:dyDescent="0.45">
      <c r="A319" s="455" t="s">
        <v>675</v>
      </c>
      <c r="B319" s="475" t="s">
        <v>307</v>
      </c>
      <c r="C319" s="255">
        <v>11</v>
      </c>
      <c r="D319" s="657">
        <v>50</v>
      </c>
      <c r="E319" s="657">
        <v>50</v>
      </c>
      <c r="F319" s="657">
        <v>0</v>
      </c>
      <c r="G319" s="658">
        <v>0</v>
      </c>
      <c r="H319" s="933"/>
      <c r="I319" s="524"/>
      <c r="J319" s="159"/>
      <c r="K319" s="160"/>
      <c r="L319" s="160"/>
      <c r="M319" s="160"/>
      <c r="N319" s="160"/>
      <c r="O319" s="808"/>
      <c r="P319" s="808"/>
      <c r="Q319" s="809"/>
      <c r="R319" s="808"/>
      <c r="S319" s="808"/>
    </row>
    <row r="320" spans="1:19" s="148" customFormat="1" ht="14.25" x14ac:dyDescent="0.45">
      <c r="A320" s="455"/>
      <c r="B320" s="475"/>
      <c r="C320" s="255"/>
      <c r="D320" s="512"/>
      <c r="E320" s="512"/>
      <c r="F320" s="512"/>
      <c r="G320" s="513"/>
      <c r="H320" s="933"/>
      <c r="I320" s="524"/>
      <c r="J320" s="159"/>
      <c r="K320" s="160"/>
      <c r="L320" s="160"/>
      <c r="M320" s="160"/>
      <c r="N320" s="160"/>
      <c r="O320" s="808"/>
      <c r="P320" s="808"/>
      <c r="Q320" s="809"/>
      <c r="R320" s="808"/>
      <c r="S320" s="808"/>
    </row>
    <row r="321" spans="1:19" s="148" customFormat="1" ht="14.25" x14ac:dyDescent="0.45">
      <c r="A321" s="974" t="s">
        <v>662</v>
      </c>
      <c r="B321" s="333"/>
      <c r="C321" s="255"/>
      <c r="D321" s="512"/>
      <c r="E321" s="256"/>
      <c r="F321" s="256"/>
      <c r="G321" s="257"/>
      <c r="H321" s="933"/>
      <c r="I321" s="524"/>
      <c r="J321" s="159"/>
      <c r="K321" s="160"/>
      <c r="L321" s="160"/>
      <c r="M321" s="160"/>
      <c r="N321" s="160"/>
      <c r="O321" s="160"/>
      <c r="P321" s="160"/>
      <c r="Q321" s="544"/>
      <c r="R321" s="774"/>
      <c r="S321" s="774"/>
    </row>
    <row r="322" spans="1:19" s="28" customFormat="1" ht="14.65" thickBot="1" x14ac:dyDescent="0.5">
      <c r="A322" s="230"/>
      <c r="B322" s="231"/>
      <c r="C322" s="537"/>
      <c r="D322" s="493"/>
      <c r="E322" s="232"/>
      <c r="F322" s="232"/>
      <c r="G322" s="233"/>
      <c r="H322" s="962"/>
      <c r="I322" s="963"/>
      <c r="J322" s="225"/>
      <c r="K322" s="223"/>
      <c r="L322" s="223"/>
      <c r="M322" s="160"/>
      <c r="N322" s="160"/>
      <c r="O322" s="160"/>
      <c r="P322" s="160"/>
      <c r="Q322" s="544"/>
      <c r="R322" s="774"/>
      <c r="S322" s="774"/>
    </row>
    <row r="323" spans="1:19" s="28" customFormat="1" ht="14.65" thickBot="1" x14ac:dyDescent="0.5">
      <c r="A323" s="227" t="s">
        <v>178</v>
      </c>
      <c r="B323" s="228"/>
      <c r="C323" s="541"/>
      <c r="D323" s="229">
        <f>D116+D117</f>
        <v>23304.540999999997</v>
      </c>
      <c r="E323" s="229">
        <f>E116+E117</f>
        <v>64017.793999999994</v>
      </c>
      <c r="F323" s="229">
        <f>F116+F117</f>
        <v>54358.551999999996</v>
      </c>
      <c r="G323" s="584">
        <f>G116+G117</f>
        <v>31482</v>
      </c>
      <c r="H323" s="498"/>
      <c r="I323" s="964"/>
      <c r="J323" s="965"/>
      <c r="K323" s="223"/>
      <c r="L323" s="223"/>
      <c r="M323" s="160"/>
      <c r="N323" s="160"/>
      <c r="O323" s="160"/>
      <c r="P323" s="160"/>
      <c r="Q323" s="544"/>
      <c r="R323" s="774"/>
      <c r="S323" s="774"/>
    </row>
    <row r="324" spans="1:19" s="28" customFormat="1" ht="14.25" x14ac:dyDescent="0.45">
      <c r="A324" s="224"/>
      <c r="B324" s="219"/>
      <c r="C324" s="255"/>
      <c r="D324" s="209"/>
      <c r="E324" s="209"/>
      <c r="F324" s="209"/>
      <c r="G324" s="210"/>
      <c r="H324" s="498"/>
      <c r="I324" s="966"/>
      <c r="J324" s="967"/>
      <c r="K324" s="223"/>
      <c r="L324" s="223"/>
      <c r="M324" s="160"/>
      <c r="N324" s="160"/>
      <c r="O324" s="160"/>
      <c r="P324" s="160"/>
      <c r="Q324" s="544"/>
      <c r="R324" s="774"/>
      <c r="S324" s="774"/>
    </row>
    <row r="325" spans="1:19" s="28" customFormat="1" ht="14.65" thickBot="1" x14ac:dyDescent="0.5">
      <c r="A325" s="230"/>
      <c r="B325" s="231"/>
      <c r="C325" s="537"/>
      <c r="D325" s="232"/>
      <c r="E325" s="232"/>
      <c r="F325" s="232"/>
      <c r="G325" s="233"/>
      <c r="H325" s="498"/>
      <c r="I325" s="966"/>
      <c r="J325" s="967"/>
      <c r="K325" s="223"/>
      <c r="L325" s="223"/>
      <c r="M325" s="160"/>
      <c r="N325" s="160"/>
      <c r="O325" s="160"/>
      <c r="P325" s="160"/>
      <c r="Q325" s="544"/>
      <c r="R325" s="774"/>
      <c r="S325" s="774"/>
    </row>
    <row r="326" spans="1:19" s="28" customFormat="1" ht="14.65" thickBot="1" x14ac:dyDescent="0.5">
      <c r="A326" s="227" t="s">
        <v>27</v>
      </c>
      <c r="B326" s="228"/>
      <c r="C326" s="541"/>
      <c r="D326" s="229">
        <f>D14+D15+D116+D117</f>
        <v>177503.185</v>
      </c>
      <c r="E326" s="229">
        <f>E14+E15+E116+E117</f>
        <v>696544.01899999997</v>
      </c>
      <c r="F326" s="229">
        <f>F14+F15+F116+F117</f>
        <v>302907.63199999998</v>
      </c>
      <c r="G326" s="584">
        <f>G14+G15+G116+G117</f>
        <v>230316.799</v>
      </c>
      <c r="H326" s="498"/>
      <c r="I326" s="966"/>
      <c r="J326" s="967"/>
      <c r="K326" s="223"/>
      <c r="L326" s="223"/>
      <c r="M326" s="160"/>
      <c r="N326" s="160"/>
      <c r="O326" s="160"/>
      <c r="P326" s="160"/>
      <c r="Q326" s="544"/>
      <c r="R326" s="774"/>
      <c r="S326" s="774"/>
    </row>
    <row r="327" spans="1:19" s="28" customFormat="1" ht="14.25" x14ac:dyDescent="0.45">
      <c r="A327" s="234"/>
      <c r="B327" s="234"/>
      <c r="C327" s="542"/>
      <c r="D327" s="235"/>
      <c r="E327" s="235"/>
      <c r="F327" s="235"/>
      <c r="G327" s="235"/>
      <c r="H327" s="498"/>
      <c r="I327" s="525"/>
      <c r="J327" s="236"/>
      <c r="K327" s="223"/>
      <c r="L327" s="223"/>
      <c r="M327" s="160"/>
      <c r="N327" s="160"/>
      <c r="O327" s="160"/>
      <c r="P327" s="160"/>
      <c r="Q327" s="544"/>
      <c r="R327" s="774"/>
      <c r="S327" s="774"/>
    </row>
    <row r="328" spans="1:19" s="28" customFormat="1" ht="14.25" x14ac:dyDescent="0.45">
      <c r="A328" s="237"/>
      <c r="B328" s="237"/>
      <c r="C328" s="255"/>
      <c r="D328" s="238"/>
      <c r="E328" s="238"/>
      <c r="F328" s="238"/>
      <c r="G328" s="238"/>
      <c r="H328" s="498"/>
      <c r="I328" s="526"/>
      <c r="J328" s="161"/>
      <c r="N328" s="218"/>
    </row>
    <row r="329" spans="1:19" s="28" customFormat="1" ht="14.25" hidden="1" x14ac:dyDescent="0.45">
      <c r="A329" s="370" t="s">
        <v>117</v>
      </c>
      <c r="B329" s="370"/>
      <c r="C329" s="543"/>
      <c r="D329" s="371">
        <f>SUBTOTAL(9,D31:D322)-D116</f>
        <v>332246.91599999997</v>
      </c>
      <c r="E329" s="371">
        <f>SUBTOTAL(9,E31:E322)-E116</f>
        <v>1065909.0190000001</v>
      </c>
      <c r="F329" s="371">
        <f>SUBTOTAL(9,F31:F322)-F116</f>
        <v>518188.03699999989</v>
      </c>
      <c r="G329" s="371">
        <f>SUBTOTAL(9,G31:G322)-G116</f>
        <v>353677.56700000004</v>
      </c>
      <c r="H329" s="499"/>
      <c r="I329" s="519"/>
      <c r="J329" s="149"/>
      <c r="N329" s="218"/>
    </row>
    <row r="330" spans="1:19" s="28" customFormat="1" hidden="1" x14ac:dyDescent="0.4">
      <c r="A330" s="300"/>
      <c r="B330" s="300"/>
      <c r="C330" s="527"/>
      <c r="D330" s="372"/>
      <c r="E330" s="372"/>
      <c r="F330" s="372"/>
      <c r="G330" s="372"/>
      <c r="H330" s="499"/>
      <c r="I330" s="519"/>
      <c r="J330" s="149"/>
      <c r="N330" s="218"/>
    </row>
    <row r="331" spans="1:19" s="28" customFormat="1" hidden="1" x14ac:dyDescent="0.4">
      <c r="A331" s="300"/>
      <c r="B331" s="300"/>
      <c r="C331" s="527"/>
      <c r="D331" s="372"/>
      <c r="E331" s="372"/>
      <c r="F331" s="372"/>
      <c r="G331" s="372"/>
      <c r="H331" s="499"/>
      <c r="I331" s="519"/>
      <c r="J331" s="149"/>
      <c r="N331" s="218"/>
    </row>
    <row r="332" spans="1:19" s="28" customFormat="1" hidden="1" x14ac:dyDescent="0.4">
      <c r="A332" s="300"/>
      <c r="B332" s="300"/>
      <c r="C332" s="527"/>
      <c r="D332" s="372"/>
      <c r="E332" s="372"/>
      <c r="F332" s="372"/>
      <c r="G332" s="372"/>
      <c r="H332" s="499"/>
      <c r="I332" s="519"/>
      <c r="J332" s="149"/>
      <c r="N332" s="218"/>
    </row>
    <row r="333" spans="1:19" s="28" customFormat="1" hidden="1" x14ac:dyDescent="0.4">
      <c r="A333" s="300"/>
      <c r="B333" s="300"/>
      <c r="C333" s="527"/>
      <c r="D333" s="372"/>
      <c r="E333" s="372"/>
      <c r="F333" s="372"/>
      <c r="G333" s="372"/>
      <c r="H333" s="499"/>
      <c r="I333" s="519"/>
      <c r="J333" s="149"/>
      <c r="N333" s="218"/>
    </row>
    <row r="334" spans="1:19" s="28" customFormat="1" hidden="1" x14ac:dyDescent="0.4">
      <c r="A334" s="300"/>
      <c r="B334" s="300"/>
      <c r="C334" s="527"/>
      <c r="D334" s="372">
        <f>SUM(D177:D321)</f>
        <v>113564</v>
      </c>
      <c r="E334" s="372">
        <f>SUM(E177:E321)</f>
        <v>161739</v>
      </c>
      <c r="F334" s="372">
        <f>SUM(F177:F321)</f>
        <v>73004</v>
      </c>
      <c r="G334" s="372">
        <f>SUM(G177:G321)</f>
        <v>77484</v>
      </c>
      <c r="H334" s="499"/>
      <c r="I334" s="519"/>
      <c r="J334" s="149"/>
      <c r="N334" s="218"/>
    </row>
    <row r="336" spans="1:19" s="28" customFormat="1" hidden="1" x14ac:dyDescent="0.4">
      <c r="D336" s="372">
        <v>154927</v>
      </c>
      <c r="E336" s="372">
        <v>177469</v>
      </c>
      <c r="F336" s="372">
        <v>254490</v>
      </c>
      <c r="G336" s="372">
        <v>246483</v>
      </c>
    </row>
  </sheetData>
  <mergeCells count="2">
    <mergeCell ref="A7:C7"/>
    <mergeCell ref="A2:G2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19" orientation="landscape" r:id="rId1"/>
  <headerFooter>
    <oddFooter>&amp;L&amp;D&amp;T&amp;CSide &amp;P af &amp;N&amp;R&amp;F</oddFooter>
  </headerFooter>
  <rowBreaks count="7" manualBreakCount="7">
    <brk id="58" max="8" man="1"/>
    <brk id="115" max="8" man="1"/>
    <brk id="150" max="8" man="1"/>
    <brk id="192" max="8" man="1"/>
    <brk id="213" max="8" man="1"/>
    <brk id="248" max="8" man="1"/>
    <brk id="294" max="8" man="1"/>
  </rowBreak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K76"/>
  <sheetViews>
    <sheetView topLeftCell="A15" zoomScale="120" zoomScaleNormal="120" workbookViewId="0">
      <selection activeCell="K18" sqref="K18"/>
    </sheetView>
  </sheetViews>
  <sheetFormatPr defaultRowHeight="12.75" x14ac:dyDescent="0.35"/>
  <cols>
    <col min="1" max="1" width="47.46484375" customWidth="1"/>
    <col min="2" max="2" width="10.53125" hidden="1" customWidth="1"/>
    <col min="3" max="3" width="6.46484375" hidden="1" customWidth="1"/>
    <col min="4" max="4" width="8.53125" hidden="1" customWidth="1"/>
    <col min="5" max="7" width="12.53125" customWidth="1"/>
    <col min="8" max="8" width="12.46484375" customWidth="1"/>
    <col min="9" max="9" width="3.46484375" customWidth="1"/>
    <col min="10" max="10" width="13.53125" style="136" customWidth="1"/>
    <col min="11" max="11" width="14.46484375" style="136" hidden="1" customWidth="1"/>
  </cols>
  <sheetData>
    <row r="2" spans="1:11" ht="17.649999999999999" x14ac:dyDescent="0.5">
      <c r="A2" s="983" t="s">
        <v>78</v>
      </c>
      <c r="B2" s="984"/>
      <c r="C2" s="984"/>
      <c r="D2" s="984"/>
      <c r="E2" s="984"/>
      <c r="F2" s="984"/>
      <c r="G2" s="984"/>
      <c r="H2" s="984"/>
    </row>
    <row r="5" spans="1:11" ht="15.4" thickBot="1" x14ac:dyDescent="0.45">
      <c r="A5" s="660" t="s">
        <v>61</v>
      </c>
      <c r="B5" s="3"/>
      <c r="C5" s="3"/>
      <c r="D5" s="3"/>
      <c r="E5" s="298"/>
      <c r="F5" s="298"/>
      <c r="G5" s="298"/>
      <c r="H5" s="298"/>
      <c r="I5" s="29"/>
      <c r="J5" s="154"/>
      <c r="K5" s="154"/>
    </row>
    <row r="6" spans="1:11" ht="17.649999999999999" thickTop="1" x14ac:dyDescent="0.45">
      <c r="A6" s="4"/>
      <c r="B6" s="2"/>
      <c r="C6" s="2"/>
      <c r="D6" s="2"/>
      <c r="E6" s="2"/>
      <c r="F6" s="2"/>
      <c r="G6" s="2"/>
      <c r="H6" s="2"/>
    </row>
    <row r="7" spans="1:11" ht="17.25" x14ac:dyDescent="0.45">
      <c r="A7" s="8" t="s">
        <v>80</v>
      </c>
      <c r="B7" s="6"/>
      <c r="C7" s="6"/>
      <c r="D7" s="6"/>
      <c r="E7" s="2"/>
      <c r="F7" s="2"/>
      <c r="G7" s="2"/>
    </row>
    <row r="8" spans="1:11" ht="13.15" x14ac:dyDescent="0.4">
      <c r="A8" s="985">
        <f ca="1">NOW()</f>
        <v>46283.024673842592</v>
      </c>
      <c r="B8" s="985"/>
      <c r="C8" s="150"/>
      <c r="D8" s="150"/>
      <c r="E8" s="2"/>
      <c r="F8" s="2"/>
      <c r="G8" s="2"/>
      <c r="H8" s="2"/>
    </row>
    <row r="9" spans="1:11" ht="13.15" x14ac:dyDescent="0.4">
      <c r="B9" s="2"/>
      <c r="C9" s="2"/>
      <c r="D9" s="2"/>
      <c r="E9" s="2"/>
      <c r="F9" s="2"/>
      <c r="G9" s="2"/>
      <c r="H9" s="2"/>
    </row>
    <row r="10" spans="1:11" ht="13.5" thickBot="1" x14ac:dyDescent="0.45">
      <c r="A10" s="5" t="s">
        <v>61</v>
      </c>
      <c r="B10" s="2"/>
      <c r="C10" s="2"/>
      <c r="D10" s="2"/>
      <c r="E10" s="2"/>
      <c r="F10" s="2"/>
      <c r="G10" s="2"/>
      <c r="H10" s="2"/>
    </row>
    <row r="11" spans="1:11" ht="19.5" customHeight="1" thickBot="1" x14ac:dyDescent="0.45">
      <c r="A11" s="130" t="s">
        <v>64</v>
      </c>
      <c r="B11" s="97"/>
      <c r="C11" s="97" t="s">
        <v>59</v>
      </c>
      <c r="D11" s="97" t="s">
        <v>60</v>
      </c>
      <c r="E11" s="98">
        <f>+Aktivitetsudvidelser!F11</f>
        <v>2027</v>
      </c>
      <c r="F11" s="98">
        <f>+E11+1</f>
        <v>2028</v>
      </c>
      <c r="G11" s="98">
        <f>+F11+1</f>
        <v>2029</v>
      </c>
      <c r="H11" s="131">
        <f>+G11+1</f>
        <v>2030</v>
      </c>
      <c r="I11" s="28"/>
      <c r="J11" s="155" t="s">
        <v>65</v>
      </c>
      <c r="K11" s="155" t="s">
        <v>73</v>
      </c>
    </row>
    <row r="12" spans="1:11" ht="14.65" thickBot="1" x14ac:dyDescent="0.5">
      <c r="A12" s="162" t="s">
        <v>79</v>
      </c>
      <c r="B12" s="163"/>
      <c r="C12" s="163"/>
      <c r="D12" s="163"/>
      <c r="E12" s="164">
        <f>SUMIF(J13:J76,"x",E13:E76)</f>
        <v>-1407</v>
      </c>
      <c r="F12" s="164">
        <f>SUMIF(J13:J76,"x",F13:F76)</f>
        <v>-1065</v>
      </c>
      <c r="G12" s="164">
        <f>SUMIF(J13:J76,"x",G13:G76)</f>
        <v>696</v>
      </c>
      <c r="H12" s="165">
        <f>SUMIF(J13:J76,"x",H13:H76)</f>
        <v>85</v>
      </c>
      <c r="I12" s="118"/>
      <c r="J12" s="166" t="s">
        <v>66</v>
      </c>
      <c r="K12" s="166" t="s">
        <v>74</v>
      </c>
    </row>
    <row r="13" spans="1:11" ht="14.25" x14ac:dyDescent="0.45">
      <c r="A13" s="167"/>
      <c r="B13" s="163"/>
      <c r="C13" s="163"/>
      <c r="D13" s="163"/>
      <c r="E13" s="168"/>
      <c r="F13" s="168"/>
      <c r="G13" s="168"/>
      <c r="H13" s="169"/>
      <c r="I13" s="118"/>
      <c r="J13" s="121"/>
      <c r="K13" s="121"/>
    </row>
    <row r="14" spans="1:11" ht="14.25" x14ac:dyDescent="0.45">
      <c r="A14" s="108" t="s">
        <v>56</v>
      </c>
      <c r="B14" s="111"/>
      <c r="C14" s="111"/>
      <c r="D14" s="111"/>
      <c r="E14" s="109"/>
      <c r="F14" s="109"/>
      <c r="G14" s="109"/>
      <c r="H14" s="110"/>
      <c r="I14" s="118"/>
      <c r="J14" s="121"/>
      <c r="K14" s="121"/>
    </row>
    <row r="15" spans="1:11" ht="14.25" x14ac:dyDescent="0.45">
      <c r="A15" s="132" t="s">
        <v>81</v>
      </c>
      <c r="B15" s="111"/>
      <c r="C15" s="111">
        <v>11</v>
      </c>
      <c r="D15" s="111">
        <v>100</v>
      </c>
      <c r="E15" s="133">
        <f>SUMIFS(Anlægsønsker!D$13:D$374,Anlægsønsker!$I$13:$I$374,"x",Anlægsønsker!$C$13:$C$374,"11")</f>
        <v>106</v>
      </c>
      <c r="F15" s="133">
        <f>SUMIFS(Anlægsønsker!E$13:E$374,Anlægsønsker!$I$13:$I$374,"x",Anlægsønsker!$C$13:$C$374,"11")</f>
        <v>296</v>
      </c>
      <c r="G15" s="133">
        <f>SUMIFS(Anlægsønsker!F$13:F$374,Anlægsønsker!$I$13:$I$374,"x",Anlægsønsker!$C$13:$C$374,"11")</f>
        <v>296</v>
      </c>
      <c r="H15" s="170">
        <f>SUMIFS(Anlægsønsker!G$13:G$374,Anlægsønsker!$I$13:$I$374,"x",Anlægsønsker!$C$13:$C$374,"11")</f>
        <v>106</v>
      </c>
      <c r="I15" s="118"/>
      <c r="J15" s="121" t="s">
        <v>71</v>
      </c>
      <c r="K15" s="121" t="s">
        <v>71</v>
      </c>
    </row>
    <row r="16" spans="1:11" ht="14.25" x14ac:dyDescent="0.45">
      <c r="A16" s="132"/>
      <c r="B16" s="111"/>
      <c r="C16" s="111"/>
      <c r="D16" s="111"/>
      <c r="E16" s="112"/>
      <c r="F16" s="112"/>
      <c r="G16" s="112"/>
      <c r="H16" s="113"/>
      <c r="I16" s="118"/>
      <c r="J16" s="121"/>
      <c r="K16" s="121"/>
    </row>
    <row r="17" spans="1:11" ht="14.25" x14ac:dyDescent="0.45">
      <c r="A17" s="108" t="s">
        <v>52</v>
      </c>
      <c r="B17" s="111"/>
      <c r="C17" s="111"/>
      <c r="D17" s="111"/>
      <c r="E17" s="112"/>
      <c r="F17" s="112"/>
      <c r="G17" s="112"/>
      <c r="H17" s="113"/>
      <c r="I17" s="118"/>
      <c r="J17" s="121"/>
      <c r="K17" s="121"/>
    </row>
    <row r="18" spans="1:11" ht="14.25" x14ac:dyDescent="0.45">
      <c r="A18" s="132" t="s">
        <v>81</v>
      </c>
      <c r="B18" s="111"/>
      <c r="C18" s="111">
        <v>12</v>
      </c>
      <c r="D18" s="111">
        <v>100</v>
      </c>
      <c r="E18" s="133">
        <f>SUMIFS(Anlægsønsker!D$13:D$374,Anlægsønsker!$I$13:$I$374,"x",Anlægsønsker!$C$13:$C$374,"12")</f>
        <v>-1541</v>
      </c>
      <c r="F18" s="133">
        <f>SUMIFS(Anlægsønsker!E$13:E$374,Anlægsønsker!$I$13:$I$374,"x",Anlægsønsker!$C$13:$C$374,"12")</f>
        <v>-1181</v>
      </c>
      <c r="G18" s="133">
        <f>SUMIFS(Anlægsønsker!F$13:F$374,Anlægsønsker!$I$13:$I$374,"x",Anlægsønsker!$C$13:$C$374,"12")</f>
        <v>112</v>
      </c>
      <c r="H18" s="170">
        <f>SUMIFS(Anlægsønsker!G$13:G$374,Anlægsønsker!$I$13:$I$374,"x",Anlægsønsker!$C$13:$C$374,"12")</f>
        <v>-298</v>
      </c>
      <c r="I18" s="118"/>
      <c r="J18" s="121" t="s">
        <v>71</v>
      </c>
      <c r="K18" s="121" t="s">
        <v>71</v>
      </c>
    </row>
    <row r="19" spans="1:11" ht="14.25" x14ac:dyDescent="0.45">
      <c r="A19" s="132"/>
      <c r="B19" s="118"/>
      <c r="C19" s="118"/>
      <c r="D19" s="118"/>
      <c r="E19" s="118"/>
      <c r="F19" s="118"/>
      <c r="G19" s="118"/>
      <c r="H19" s="171"/>
      <c r="I19" s="118"/>
      <c r="J19" s="121"/>
      <c r="K19" s="121"/>
    </row>
    <row r="20" spans="1:11" ht="14.25" x14ac:dyDescent="0.45">
      <c r="A20" s="172" t="s">
        <v>91</v>
      </c>
      <c r="B20" s="118"/>
      <c r="C20" s="118"/>
      <c r="D20" s="118"/>
      <c r="E20" s="118"/>
      <c r="F20" s="118"/>
      <c r="G20" s="118"/>
      <c r="H20" s="171"/>
      <c r="I20" s="118"/>
      <c r="J20" s="121"/>
      <c r="K20" s="121"/>
    </row>
    <row r="21" spans="1:11" ht="14.25" x14ac:dyDescent="0.45">
      <c r="A21" s="132" t="s">
        <v>81</v>
      </c>
      <c r="B21" s="118"/>
      <c r="C21" s="118">
        <v>13</v>
      </c>
      <c r="D21" s="118">
        <v>100</v>
      </c>
      <c r="E21" s="133">
        <f>SUMIFS(Anlægsønsker!D$13:D$374,Anlægsønsker!$I$13:$I$374,"x",Anlægsønsker!$C$13:$C$374,"13")</f>
        <v>-277</v>
      </c>
      <c r="F21" s="133">
        <f>SUMIFS(Anlægsønsker!E$13:E$374,Anlægsønsker!$I$13:$I$374,"x",Anlægsønsker!$C$13:$C$374,"13")</f>
        <v>-325</v>
      </c>
      <c r="G21" s="133">
        <f>SUMIFS(Anlægsønsker!F$13:F$374,Anlægsønsker!$I$13:$I$374,"x",Anlægsønsker!$C$13:$C$374,"13")</f>
        <v>-133</v>
      </c>
      <c r="H21" s="170">
        <f>SUMIFS(Anlægsønsker!G$13:G$374,Anlægsønsker!$I$13:$I$374,"x",Anlægsønsker!$C$13:$C$374,"13")</f>
        <v>-120</v>
      </c>
      <c r="I21" s="118"/>
      <c r="J21" s="121" t="s">
        <v>71</v>
      </c>
      <c r="K21" s="121" t="s">
        <v>71</v>
      </c>
    </row>
    <row r="22" spans="1:11" ht="14.25" x14ac:dyDescent="0.45">
      <c r="A22" s="132"/>
      <c r="B22" s="118"/>
      <c r="C22" s="118"/>
      <c r="D22" s="118"/>
      <c r="E22" s="118"/>
      <c r="F22" s="118"/>
      <c r="G22" s="118"/>
      <c r="H22" s="171"/>
      <c r="I22" s="118"/>
      <c r="J22" s="121"/>
      <c r="K22" s="121"/>
    </row>
    <row r="23" spans="1:11" ht="14.25" x14ac:dyDescent="0.45">
      <c r="A23" s="172" t="s">
        <v>160</v>
      </c>
      <c r="B23" s="118"/>
      <c r="C23" s="118"/>
      <c r="D23" s="118"/>
      <c r="E23" s="118"/>
      <c r="F23" s="118"/>
      <c r="G23" s="118"/>
      <c r="H23" s="171"/>
      <c r="I23" s="118"/>
      <c r="J23" s="121"/>
      <c r="K23" s="121"/>
    </row>
    <row r="24" spans="1:11" ht="14.25" x14ac:dyDescent="0.45">
      <c r="A24" s="132" t="s">
        <v>81</v>
      </c>
      <c r="B24" s="118"/>
      <c r="C24" s="118">
        <v>27</v>
      </c>
      <c r="D24" s="118">
        <v>100</v>
      </c>
      <c r="E24" s="133">
        <f>SUMIFS(Anlægsønsker!D$13:D$374,Anlægsønsker!$I$13:$I$374,"x",Anlægsønsker!$C$13:$C$374,"27")</f>
        <v>0</v>
      </c>
      <c r="F24" s="133">
        <f>SUMIFS(Anlægsønsker!E$13:E$374,Anlægsønsker!$I$13:$I$374,"x",Anlægsønsker!$C$13:$C$374,"27")</f>
        <v>0</v>
      </c>
      <c r="G24" s="133">
        <f>SUMIFS(Anlægsønsker!F$13:F$374,Anlægsønsker!$I$13:$I$374,"x",Anlægsønsker!$C$13:$C$374,"27")</f>
        <v>0</v>
      </c>
      <c r="H24" s="170">
        <f>SUMIFS(Anlægsønsker!G$13:G$374,Anlægsønsker!$I$13:$I$374,"x",Anlægsønsker!$C$13:$C$374,"27")</f>
        <v>0</v>
      </c>
      <c r="I24" s="118"/>
      <c r="J24" s="121" t="s">
        <v>71</v>
      </c>
      <c r="K24" s="121" t="s">
        <v>71</v>
      </c>
    </row>
    <row r="25" spans="1:11" ht="14.25" x14ac:dyDescent="0.45">
      <c r="A25" s="132"/>
      <c r="B25" s="118"/>
      <c r="C25" s="118"/>
      <c r="D25" s="118"/>
      <c r="E25" s="118"/>
      <c r="F25" s="118"/>
      <c r="G25" s="118"/>
      <c r="H25" s="171"/>
      <c r="I25" s="118"/>
      <c r="J25" s="121"/>
      <c r="K25" s="121"/>
    </row>
    <row r="26" spans="1:11" ht="14.25" x14ac:dyDescent="0.45">
      <c r="A26" s="172" t="s">
        <v>158</v>
      </c>
      <c r="B26" s="118"/>
      <c r="C26" s="118"/>
      <c r="D26" s="118"/>
      <c r="E26" s="133"/>
      <c r="F26" s="133"/>
      <c r="G26" s="133"/>
      <c r="H26" s="170"/>
      <c r="I26" s="118"/>
      <c r="J26" s="121"/>
      <c r="K26" s="121"/>
    </row>
    <row r="27" spans="1:11" ht="14.25" x14ac:dyDescent="0.45">
      <c r="A27" s="132" t="s">
        <v>81</v>
      </c>
      <c r="B27" s="118"/>
      <c r="C27" s="118">
        <v>21</v>
      </c>
      <c r="D27" s="118">
        <v>100</v>
      </c>
      <c r="E27" s="133">
        <f>SUMIFS(Anlægsønsker!D$13:D$374,Anlægsønsker!$I$13:$I$374,"x",Anlægsønsker!$C$13:$C$374,"21")</f>
        <v>0</v>
      </c>
      <c r="F27" s="133">
        <f>SUMIFS(Anlægsønsker!E$13:E$374,Anlægsønsker!$I$13:$I$374,"x",Anlægsønsker!$C$13:$C$374,"21")</f>
        <v>0</v>
      </c>
      <c r="G27" s="133">
        <f>SUMIFS(Anlægsønsker!F$13:F$374,Anlægsønsker!$I$13:$I$374,"x",Anlægsønsker!$C$13:$C$374,"21")</f>
        <v>0</v>
      </c>
      <c r="H27" s="170">
        <f>SUMIFS(Anlægsønsker!G$13:G$374,Anlægsønsker!$I$13:$I$374,"x",Anlægsønsker!$C$13:$C$374,"21")</f>
        <v>0</v>
      </c>
      <c r="I27" s="118"/>
      <c r="J27" s="121" t="s">
        <v>71</v>
      </c>
      <c r="K27" s="121"/>
    </row>
    <row r="28" spans="1:11" ht="14.25" x14ac:dyDescent="0.45">
      <c r="A28" s="132"/>
      <c r="B28" s="118"/>
      <c r="C28" s="118"/>
      <c r="D28" s="118"/>
      <c r="E28" s="118"/>
      <c r="F28" s="118"/>
      <c r="G28" s="118"/>
      <c r="H28" s="171"/>
      <c r="I28" s="118"/>
      <c r="J28" s="121"/>
      <c r="K28" s="121"/>
    </row>
    <row r="29" spans="1:11" ht="14.25" x14ac:dyDescent="0.45">
      <c r="A29" s="172" t="s">
        <v>159</v>
      </c>
      <c r="B29" s="118"/>
      <c r="C29" s="118"/>
      <c r="D29" s="118"/>
      <c r="E29" s="133"/>
      <c r="F29" s="133"/>
      <c r="G29" s="133"/>
      <c r="H29" s="170"/>
      <c r="I29" s="118"/>
      <c r="J29" s="121"/>
      <c r="K29" s="121"/>
    </row>
    <row r="30" spans="1:11" ht="14.25" x14ac:dyDescent="0.45">
      <c r="A30" s="132" t="s">
        <v>81</v>
      </c>
      <c r="B30" s="118"/>
      <c r="C30" s="118">
        <v>23</v>
      </c>
      <c r="D30" s="118">
        <v>100</v>
      </c>
      <c r="E30" s="133">
        <f>SUMIFS(Anlægsønsker!D$13:D$374,Anlægsønsker!$I$13:$I$374,"x",Anlægsønsker!$C$13:$C$374,"23")</f>
        <v>0</v>
      </c>
      <c r="F30" s="133">
        <f>SUMIFS(Anlægsønsker!E$13:E$374,Anlægsønsker!$I$13:$I$374,"x",Anlægsønsker!$C$13:$C$374,"23")</f>
        <v>0</v>
      </c>
      <c r="G30" s="133">
        <f>SUMIFS(Anlægsønsker!F$13:F$374,Anlægsønsker!$I$13:$I$374,"x",Anlægsønsker!$C$13:$C$374,"23")</f>
        <v>0</v>
      </c>
      <c r="H30" s="170">
        <f>SUMIFS(Anlægsønsker!G$13:G$374,Anlægsønsker!$I$13:$I$374,"x",Anlægsønsker!$C$13:$C$374,"23")</f>
        <v>0</v>
      </c>
      <c r="I30" s="118"/>
      <c r="J30" s="121" t="s">
        <v>71</v>
      </c>
      <c r="K30" s="121"/>
    </row>
    <row r="31" spans="1:11" ht="14.25" x14ac:dyDescent="0.45">
      <c r="A31" s="132"/>
      <c r="B31" s="118"/>
      <c r="C31" s="118"/>
      <c r="D31" s="118"/>
      <c r="E31" s="118"/>
      <c r="F31" s="118"/>
      <c r="G31" s="118"/>
      <c r="H31" s="171"/>
      <c r="I31" s="118"/>
      <c r="J31" s="121"/>
      <c r="K31" s="121"/>
    </row>
    <row r="32" spans="1:11" ht="14.25" x14ac:dyDescent="0.45">
      <c r="A32" s="172" t="s">
        <v>92</v>
      </c>
      <c r="B32" s="118"/>
      <c r="C32" s="118"/>
      <c r="D32" s="118"/>
      <c r="E32" s="118"/>
      <c r="F32" s="118"/>
      <c r="G32" s="118"/>
      <c r="H32" s="171"/>
      <c r="I32" s="118"/>
      <c r="J32" s="121"/>
      <c r="K32" s="121"/>
    </row>
    <row r="33" spans="1:11" ht="14.25" x14ac:dyDescent="0.45">
      <c r="A33" s="132" t="s">
        <v>81</v>
      </c>
      <c r="B33" s="118"/>
      <c r="C33" s="118">
        <v>28</v>
      </c>
      <c r="D33" s="118">
        <v>100</v>
      </c>
      <c r="E33" s="133">
        <f>SUMIFS(Anlægsønsker!D$13:D$374,Anlægsønsker!$I$13:$I$374,"x",Anlægsønsker!$C$13:$C$374,"28")</f>
        <v>0</v>
      </c>
      <c r="F33" s="133">
        <f>SUMIFS(Anlægsønsker!E$13:E$374,Anlægsønsker!$I$13:$I$374,"x",Anlægsønsker!$C$13:$C$374,"28")</f>
        <v>0</v>
      </c>
      <c r="G33" s="133">
        <f>SUMIFS(Anlægsønsker!F$13:F$374,Anlægsønsker!$I$13:$I$374,"x",Anlægsønsker!$C$13:$C$374,"28")</f>
        <v>0</v>
      </c>
      <c r="H33" s="170">
        <f>SUMIFS(Anlægsønsker!G$13:G$374,Anlægsønsker!$I$13:$I$374,"x",Anlægsønsker!$C$13:$C$374,"28")</f>
        <v>0</v>
      </c>
      <c r="I33" s="118"/>
      <c r="J33" s="121" t="s">
        <v>71</v>
      </c>
      <c r="K33" s="121" t="s">
        <v>71</v>
      </c>
    </row>
    <row r="34" spans="1:11" ht="14.25" x14ac:dyDescent="0.45">
      <c r="A34" s="132"/>
      <c r="B34" s="118"/>
      <c r="C34" s="118"/>
      <c r="D34" s="118"/>
      <c r="E34" s="118"/>
      <c r="F34" s="118"/>
      <c r="G34" s="118"/>
      <c r="H34" s="171"/>
      <c r="I34" s="118"/>
      <c r="J34" s="121"/>
      <c r="K34" s="121"/>
    </row>
    <row r="35" spans="1:11" ht="14.25" x14ac:dyDescent="0.45">
      <c r="A35" s="172" t="s">
        <v>93</v>
      </c>
      <c r="B35" s="118"/>
      <c r="C35" s="118"/>
      <c r="D35" s="118"/>
      <c r="E35" s="118"/>
      <c r="F35" s="118"/>
      <c r="G35" s="118"/>
      <c r="H35" s="171"/>
      <c r="I35" s="118"/>
      <c r="J35" s="121"/>
      <c r="K35" s="121"/>
    </row>
    <row r="36" spans="1:11" ht="14.25" x14ac:dyDescent="0.45">
      <c r="A36" s="132" t="s">
        <v>81</v>
      </c>
      <c r="B36" s="118"/>
      <c r="C36" s="118">
        <v>30</v>
      </c>
      <c r="D36" s="118">
        <v>100</v>
      </c>
      <c r="E36" s="133">
        <f>SUMIFS(Anlægsønsker!D$13:D$374,Anlægsønsker!$I$13:$I$374,"x",Anlægsønsker!$C$13:$C$374,"30")</f>
        <v>0</v>
      </c>
      <c r="F36" s="133">
        <f>SUMIFS(Anlægsønsker!E$13:E$374,Anlægsønsker!$I$13:$I$374,"x",Anlægsønsker!$C$13:$C$374,"30")</f>
        <v>0</v>
      </c>
      <c r="G36" s="133">
        <f>SUMIFS(Anlægsønsker!F$13:F$374,Anlægsønsker!$I$13:$I$374,"x",Anlægsønsker!$C$13:$C$374,"30")</f>
        <v>0</v>
      </c>
      <c r="H36" s="170">
        <f>SUMIFS(Anlægsønsker!G$13:G$374,Anlægsønsker!$I$13:$I$374,"x",Anlægsønsker!$C$13:$C$374,"30")</f>
        <v>0</v>
      </c>
      <c r="I36" s="118"/>
      <c r="J36" s="121" t="s">
        <v>71</v>
      </c>
      <c r="K36" s="121" t="s">
        <v>71</v>
      </c>
    </row>
    <row r="37" spans="1:11" ht="14.25" x14ac:dyDescent="0.45">
      <c r="A37" s="132"/>
      <c r="B37" s="118"/>
      <c r="C37" s="118"/>
      <c r="D37" s="118"/>
      <c r="E37" s="118"/>
      <c r="F37" s="118"/>
      <c r="G37" s="118"/>
      <c r="H37" s="171"/>
      <c r="I37" s="118"/>
      <c r="J37" s="121"/>
      <c r="K37" s="121"/>
    </row>
    <row r="38" spans="1:11" ht="14.25" x14ac:dyDescent="0.45">
      <c r="A38" s="172" t="s">
        <v>293</v>
      </c>
      <c r="B38" s="118"/>
      <c r="C38" s="118"/>
      <c r="D38" s="118"/>
      <c r="E38" s="118"/>
      <c r="F38" s="118"/>
      <c r="G38" s="118"/>
      <c r="H38" s="171"/>
      <c r="I38" s="118"/>
      <c r="J38" s="121"/>
      <c r="K38" s="121"/>
    </row>
    <row r="39" spans="1:11" ht="14.25" x14ac:dyDescent="0.45">
      <c r="A39" s="132" t="s">
        <v>222</v>
      </c>
      <c r="B39" s="118"/>
      <c r="C39" s="118">
        <v>31</v>
      </c>
      <c r="D39" s="118">
        <v>200</v>
      </c>
      <c r="E39" s="133">
        <f>SUMIFS(Anlægsønsker!D$13:D$374,Anlægsønsker!$I$13:$I$374,"x",Anlægsønsker!$C$13:$C$374,"31")</f>
        <v>0</v>
      </c>
      <c r="F39" s="133">
        <f>SUMIFS(Anlægsønsker!E$13:E$374,Anlægsønsker!$I$13:$I$374,"x",Anlægsønsker!$C$13:$C$374,"31")</f>
        <v>0</v>
      </c>
      <c r="G39" s="133">
        <f>SUMIFS(Anlægsønsker!F$13:F$374,Anlægsønsker!$I$13:$I$374,"x",Anlægsønsker!$C$13:$C$374,"31")</f>
        <v>0</v>
      </c>
      <c r="H39" s="170">
        <f>SUMIFS(Anlægsønsker!G$13:G$374,Anlægsønsker!$I$13:$I$374,"x",Anlægsønsker!$C$13:$C$374,"31")</f>
        <v>0</v>
      </c>
      <c r="I39" s="118"/>
      <c r="J39" s="121" t="s">
        <v>71</v>
      </c>
      <c r="K39" s="121" t="s">
        <v>71</v>
      </c>
    </row>
    <row r="40" spans="1:11" ht="14.25" x14ac:dyDescent="0.45">
      <c r="A40" s="132"/>
      <c r="B40" s="118"/>
      <c r="C40" s="118"/>
      <c r="D40" s="118"/>
      <c r="E40" s="118"/>
      <c r="F40" s="118"/>
      <c r="G40" s="118"/>
      <c r="H40" s="171"/>
      <c r="I40" s="118"/>
      <c r="J40" s="121"/>
      <c r="K40" s="121"/>
    </row>
    <row r="41" spans="1:11" ht="14.25" x14ac:dyDescent="0.45">
      <c r="A41" s="172" t="s">
        <v>296</v>
      </c>
      <c r="B41" s="118"/>
      <c r="C41" s="118"/>
      <c r="D41" s="118"/>
      <c r="E41" s="118"/>
      <c r="F41" s="118"/>
      <c r="G41" s="118"/>
      <c r="H41" s="171"/>
      <c r="I41" s="118"/>
      <c r="J41" s="121"/>
      <c r="K41" s="121"/>
    </row>
    <row r="42" spans="1:11" ht="14.25" x14ac:dyDescent="0.45">
      <c r="A42" s="132" t="s">
        <v>81</v>
      </c>
      <c r="B42" s="118"/>
      <c r="C42" s="118">
        <v>33</v>
      </c>
      <c r="D42" s="118">
        <v>100</v>
      </c>
      <c r="E42" s="133">
        <f>SUMIFS(Anlægsønsker!D$13:D$374,Anlægsønsker!$I$13:$I$374,"x",Anlægsønsker!$C$13:$C$374,"33")</f>
        <v>0</v>
      </c>
      <c r="F42" s="133">
        <f>SUMIFS(Anlægsønsker!E$13:E$374,Anlægsønsker!$I$13:$I$374,"x",Anlægsønsker!$C$13:$C$374,"33")</f>
        <v>0</v>
      </c>
      <c r="G42" s="133">
        <f>SUMIFS(Anlægsønsker!F$13:F$374,Anlægsønsker!$I$13:$I$374,"x",Anlægsønsker!$C$13:$C$374,"33")</f>
        <v>0</v>
      </c>
      <c r="H42" s="170">
        <f>SUMIFS(Anlægsønsker!G$13:G$374,Anlægsønsker!$I$13:$I$374,"x",Anlægsønsker!$C$13:$C$374,"33")</f>
        <v>0</v>
      </c>
      <c r="I42" s="118"/>
      <c r="J42" s="121" t="s">
        <v>71</v>
      </c>
      <c r="K42" s="121" t="s">
        <v>71</v>
      </c>
    </row>
    <row r="43" spans="1:11" ht="14.25" x14ac:dyDescent="0.45">
      <c r="A43" s="132"/>
      <c r="B43" s="118"/>
      <c r="C43" s="118"/>
      <c r="D43" s="118"/>
      <c r="E43" s="118"/>
      <c r="F43" s="118"/>
      <c r="G43" s="118"/>
      <c r="H43" s="171"/>
      <c r="I43" s="118"/>
      <c r="J43" s="121"/>
      <c r="K43" s="121"/>
    </row>
    <row r="44" spans="1:11" ht="14.25" x14ac:dyDescent="0.45">
      <c r="A44" s="172" t="s">
        <v>297</v>
      </c>
      <c r="B44" s="118"/>
      <c r="C44" s="118"/>
      <c r="D44" s="118"/>
      <c r="E44" s="118"/>
      <c r="F44" s="118"/>
      <c r="G44" s="118"/>
      <c r="H44" s="171"/>
      <c r="I44" s="118"/>
      <c r="J44" s="121"/>
      <c r="K44" s="121"/>
    </row>
    <row r="45" spans="1:11" ht="14.25" x14ac:dyDescent="0.45">
      <c r="A45" s="132" t="s">
        <v>81</v>
      </c>
      <c r="B45" s="118"/>
      <c r="C45" s="118">
        <v>32</v>
      </c>
      <c r="D45" s="118">
        <v>100</v>
      </c>
      <c r="E45" s="133">
        <f>SUMIFS(Anlægsønsker!D$13:D$374,Anlægsønsker!$I$13:$I$374,"x",Anlægsønsker!$C$13:$C$374,"32")</f>
        <v>0</v>
      </c>
      <c r="F45" s="133">
        <f>SUMIFS(Anlægsønsker!E$13:E$374,Anlægsønsker!$I$13:$I$374,"x",Anlægsønsker!$C$13:$C$374,"32")</f>
        <v>0</v>
      </c>
      <c r="G45" s="133">
        <f>SUMIFS(Anlægsønsker!F$13:F$374,Anlægsønsker!$I$13:$I$374,"x",Anlægsønsker!$C$13:$C$374,"32")</f>
        <v>0</v>
      </c>
      <c r="H45" s="170">
        <f>SUMIFS(Anlægsønsker!G$13:G$374,Anlægsønsker!$I$13:$I$374,"x",Anlægsønsker!$C$13:$C$374,"32")</f>
        <v>0</v>
      </c>
      <c r="I45" s="118"/>
      <c r="J45" s="121" t="s">
        <v>71</v>
      </c>
      <c r="K45" s="121" t="s">
        <v>71</v>
      </c>
    </row>
    <row r="46" spans="1:11" ht="14.25" x14ac:dyDescent="0.45">
      <c r="A46" s="132"/>
      <c r="B46" s="118"/>
      <c r="C46" s="118"/>
      <c r="D46" s="118"/>
      <c r="E46" s="118"/>
      <c r="F46" s="118"/>
      <c r="G46" s="118"/>
      <c r="H46" s="171"/>
      <c r="I46" s="118"/>
      <c r="J46" s="121"/>
      <c r="K46" s="121"/>
    </row>
    <row r="47" spans="1:11" ht="14.25" x14ac:dyDescent="0.45">
      <c r="A47" s="172" t="s">
        <v>94</v>
      </c>
      <c r="B47" s="118"/>
      <c r="C47" s="118"/>
      <c r="D47" s="118"/>
      <c r="E47" s="118"/>
      <c r="F47" s="118"/>
      <c r="G47" s="118"/>
      <c r="H47" s="171"/>
      <c r="I47" s="118"/>
      <c r="J47" s="121"/>
      <c r="K47" s="121"/>
    </row>
    <row r="48" spans="1:11" ht="14.25" x14ac:dyDescent="0.45">
      <c r="A48" s="132" t="s">
        <v>81</v>
      </c>
      <c r="B48" s="118"/>
      <c r="C48" s="118">
        <v>34</v>
      </c>
      <c r="D48" s="118">
        <v>100</v>
      </c>
      <c r="E48" s="133">
        <f>SUMIFS(Anlægsønsker!D$13:D$374,Anlægsønsker!$I$13:$I$374,"x",Anlægsønsker!$C$13:$C$374,"34")</f>
        <v>0</v>
      </c>
      <c r="F48" s="133">
        <f>SUMIFS(Anlægsønsker!E$13:E$374,Anlægsønsker!$I$13:$I$374,"x",Anlægsønsker!$C$13:$C$374,"34")</f>
        <v>0</v>
      </c>
      <c r="G48" s="133">
        <f>SUMIFS(Anlægsønsker!F$13:F$374,Anlægsønsker!$I$13:$I$374,"x",Anlægsønsker!$C$13:$C$374,"34")</f>
        <v>0</v>
      </c>
      <c r="H48" s="170">
        <f>SUMIFS(Anlægsønsker!G$13:G$374,Anlægsønsker!$I$13:$I$374,"x",Anlægsønsker!$C$13:$C$374,"34")</f>
        <v>0</v>
      </c>
      <c r="I48" s="118"/>
      <c r="J48" s="121" t="s">
        <v>71</v>
      </c>
      <c r="K48" s="121" t="s">
        <v>71</v>
      </c>
    </row>
    <row r="49" spans="1:11" ht="14.25" x14ac:dyDescent="0.45">
      <c r="A49" s="132"/>
      <c r="B49" s="118"/>
      <c r="C49" s="118"/>
      <c r="D49" s="118"/>
      <c r="E49" s="118"/>
      <c r="F49" s="118"/>
      <c r="G49" s="118"/>
      <c r="H49" s="171"/>
      <c r="I49" s="118"/>
      <c r="J49" s="121"/>
      <c r="K49" s="121"/>
    </row>
    <row r="50" spans="1:11" ht="14.25" x14ac:dyDescent="0.45">
      <c r="A50" s="172" t="s">
        <v>95</v>
      </c>
      <c r="B50" s="118"/>
      <c r="C50" s="118"/>
      <c r="D50" s="118"/>
      <c r="E50" s="118"/>
      <c r="F50" s="118"/>
      <c r="G50" s="118"/>
      <c r="H50" s="171"/>
      <c r="I50" s="118"/>
      <c r="J50" s="121"/>
      <c r="K50" s="121"/>
    </row>
    <row r="51" spans="1:11" ht="14.25" x14ac:dyDescent="0.45">
      <c r="A51" s="132" t="s">
        <v>81</v>
      </c>
      <c r="B51" s="118"/>
      <c r="C51" s="118">
        <v>35</v>
      </c>
      <c r="D51" s="118">
        <v>100</v>
      </c>
      <c r="E51" s="133">
        <f>SUMIFS(Anlægsønsker!D$13:D$374,Anlægsønsker!$I$13:$I$374,"x",Anlægsønsker!$C$13:$C$374,"35")</f>
        <v>0</v>
      </c>
      <c r="F51" s="133">
        <f>SUMIFS(Anlægsønsker!E$13:E$374,Anlægsønsker!$I$13:$I$374,"x",Anlægsønsker!$C$13:$C$374,"35")</f>
        <v>0</v>
      </c>
      <c r="G51" s="133">
        <f>SUMIFS(Anlægsønsker!F$13:F$374,Anlægsønsker!$I$13:$I$374,"x",Anlægsønsker!$C$13:$C$374,"35")</f>
        <v>0</v>
      </c>
      <c r="H51" s="170">
        <f>SUMIFS(Anlægsønsker!G$13:G$374,Anlægsønsker!$I$13:$I$374,"x",Anlægsønsker!$C$13:$C$374,"35")</f>
        <v>0</v>
      </c>
      <c r="I51" s="118"/>
      <c r="J51" s="121" t="s">
        <v>71</v>
      </c>
      <c r="K51" s="121" t="s">
        <v>71</v>
      </c>
    </row>
    <row r="52" spans="1:11" ht="14.25" x14ac:dyDescent="0.45">
      <c r="A52" s="132"/>
      <c r="B52" s="118"/>
      <c r="C52" s="118"/>
      <c r="D52" s="118"/>
      <c r="E52" s="118"/>
      <c r="F52" s="118"/>
      <c r="G52" s="118"/>
      <c r="H52" s="171"/>
      <c r="I52" s="118"/>
      <c r="J52" s="121"/>
      <c r="K52" s="121"/>
    </row>
    <row r="53" spans="1:11" ht="14.25" x14ac:dyDescent="0.45">
      <c r="A53" s="792" t="s">
        <v>433</v>
      </c>
      <c r="B53" s="118"/>
      <c r="C53" s="118"/>
      <c r="D53" s="118"/>
      <c r="E53" s="118"/>
      <c r="F53" s="118"/>
      <c r="G53" s="118"/>
      <c r="H53" s="171"/>
      <c r="I53" s="118"/>
      <c r="J53" s="121"/>
      <c r="K53" s="121"/>
    </row>
    <row r="54" spans="1:11" ht="14.25" x14ac:dyDescent="0.45">
      <c r="A54" s="132" t="s">
        <v>81</v>
      </c>
      <c r="B54" s="118"/>
      <c r="C54" s="118">
        <v>36</v>
      </c>
      <c r="D54" s="118">
        <v>100</v>
      </c>
      <c r="E54" s="133">
        <f>SUMIFS(Anlægsønsker!D$13:D$374,Anlægsønsker!$I$13:$I$374,"x",Anlægsønsker!$C$13:$C$374,"38")</f>
        <v>0</v>
      </c>
      <c r="F54" s="133">
        <f>SUMIFS(Anlægsønsker!E$13:E$374,Anlægsønsker!$I$13:$I$374,"x",Anlægsønsker!$C$13:$C$374,"38")</f>
        <v>0</v>
      </c>
      <c r="G54" s="133">
        <f>SUMIFS(Anlægsønsker!F$13:F$374,Anlægsønsker!$I$13:$I$374,"x",Anlægsønsker!$C$13:$C$374,"38")</f>
        <v>0</v>
      </c>
      <c r="H54" s="170">
        <f>SUMIFS(Anlægsønsker!G$13:G$374,Anlægsønsker!$I$13:$I$374,"x",Anlægsønsker!$C$13:$C$374,"38")</f>
        <v>0</v>
      </c>
      <c r="I54" s="118"/>
      <c r="J54" s="121" t="s">
        <v>71</v>
      </c>
      <c r="K54" s="121"/>
    </row>
    <row r="55" spans="1:11" ht="14.25" x14ac:dyDescent="0.45">
      <c r="A55" s="132"/>
      <c r="B55" s="118"/>
      <c r="C55" s="118"/>
      <c r="D55" s="118"/>
      <c r="E55" s="118"/>
      <c r="F55" s="118"/>
      <c r="G55" s="118"/>
      <c r="H55" s="171"/>
      <c r="I55" s="118"/>
      <c r="J55" s="121"/>
      <c r="K55" s="121"/>
    </row>
    <row r="56" spans="1:11" ht="14.25" x14ac:dyDescent="0.45">
      <c r="A56" s="172" t="s">
        <v>96</v>
      </c>
      <c r="B56" s="118"/>
      <c r="C56" s="118"/>
      <c r="D56" s="118"/>
      <c r="E56" s="118"/>
      <c r="F56" s="118"/>
      <c r="G56" s="118"/>
      <c r="H56" s="171"/>
      <c r="I56" s="118"/>
      <c r="J56" s="121"/>
      <c r="K56" s="121"/>
    </row>
    <row r="57" spans="1:11" ht="14.25" x14ac:dyDescent="0.45">
      <c r="A57" s="132" t="s">
        <v>81</v>
      </c>
      <c r="B57" s="118"/>
      <c r="C57" s="118">
        <v>41</v>
      </c>
      <c r="D57" s="118">
        <v>100</v>
      </c>
      <c r="E57" s="133">
        <f>SUMIFS(Anlægsønsker!D$13:D$374,Anlægsønsker!$I$13:$I$374,"x",Anlægsønsker!$C$13:$C$374,"41")</f>
        <v>29</v>
      </c>
      <c r="F57" s="133">
        <f>SUMIFS(Anlægsønsker!E$13:E$374,Anlægsønsker!$I$13:$I$374,"x",Anlægsønsker!$C$13:$C$374,"41")</f>
        <v>29</v>
      </c>
      <c r="G57" s="133">
        <f>SUMIFS(Anlægsønsker!F$13:F$374,Anlægsønsker!$I$13:$I$374,"x",Anlægsønsker!$C$13:$C$374,"41")</f>
        <v>29</v>
      </c>
      <c r="H57" s="170">
        <f>SUMIFS(Anlægsønsker!G$13:G$374,Anlægsønsker!$I$13:$I$374,"x",Anlægsønsker!$C$13:$C$374,"41")</f>
        <v>0</v>
      </c>
      <c r="I57" s="118"/>
      <c r="J57" s="121" t="s">
        <v>71</v>
      </c>
      <c r="K57" s="121" t="s">
        <v>71</v>
      </c>
    </row>
    <row r="58" spans="1:11" ht="14.25" x14ac:dyDescent="0.45">
      <c r="A58" s="132"/>
      <c r="B58" s="118"/>
      <c r="C58" s="118"/>
      <c r="D58" s="118"/>
      <c r="E58" s="118"/>
      <c r="F58" s="118"/>
      <c r="G58" s="118"/>
      <c r="H58" s="171"/>
      <c r="I58" s="118"/>
      <c r="J58" s="121"/>
      <c r="K58" s="121"/>
    </row>
    <row r="59" spans="1:11" ht="14.25" x14ac:dyDescent="0.45">
      <c r="A59" s="172" t="s">
        <v>455</v>
      </c>
      <c r="B59" s="118"/>
      <c r="C59" s="118"/>
      <c r="D59" s="118"/>
      <c r="E59" s="118"/>
      <c r="F59" s="118"/>
      <c r="G59" s="118"/>
      <c r="H59" s="171"/>
      <c r="I59" s="118"/>
      <c r="J59" s="121"/>
      <c r="K59" s="121"/>
    </row>
    <row r="60" spans="1:11" ht="14.25" x14ac:dyDescent="0.45">
      <c r="A60" s="132" t="s">
        <v>81</v>
      </c>
      <c r="B60" s="118"/>
      <c r="C60" s="118">
        <v>42</v>
      </c>
      <c r="D60" s="118">
        <v>100</v>
      </c>
      <c r="E60" s="133">
        <f>SUMIFS(Anlægsønsker!D$13:D$374,Anlægsønsker!$I$13:$I$374,"x",Anlægsønsker!$C$13:$C$374,"42")</f>
        <v>141</v>
      </c>
      <c r="F60" s="133">
        <f>SUMIFS(Anlægsønsker!E$13:E$374,Anlægsønsker!$I$13:$I$374,"x",Anlægsønsker!$C$13:$C$374,"42")</f>
        <v>141</v>
      </c>
      <c r="G60" s="133">
        <f>SUMIFS(Anlægsønsker!F$13:F$374,Anlægsønsker!$I$13:$I$374,"x",Anlægsønsker!$C$13:$C$374,"42")</f>
        <v>147</v>
      </c>
      <c r="H60" s="170">
        <f>SUMIFS(Anlægsønsker!G$13:G$374,Anlægsønsker!$I$13:$I$374,"x",Anlægsønsker!$C$13:$C$374,"42")</f>
        <v>152</v>
      </c>
      <c r="I60" s="118"/>
      <c r="J60" s="121" t="s">
        <v>71</v>
      </c>
      <c r="K60" s="121" t="s">
        <v>71</v>
      </c>
    </row>
    <row r="61" spans="1:11" ht="14.25" x14ac:dyDescent="0.45">
      <c r="A61" s="132"/>
      <c r="B61" s="118"/>
      <c r="C61" s="118"/>
      <c r="D61" s="118"/>
      <c r="E61" s="118"/>
      <c r="F61" s="118"/>
      <c r="G61" s="118"/>
      <c r="H61" s="171"/>
      <c r="I61" s="118"/>
      <c r="J61" s="121"/>
      <c r="K61" s="121"/>
    </row>
    <row r="62" spans="1:11" ht="14.25" x14ac:dyDescent="0.45">
      <c r="A62" s="108" t="s">
        <v>103</v>
      </c>
      <c r="B62" s="118"/>
      <c r="C62" s="118"/>
      <c r="D62" s="118"/>
      <c r="E62" s="118"/>
      <c r="F62" s="118"/>
      <c r="G62" s="118"/>
      <c r="H62" s="171"/>
      <c r="I62" s="118"/>
      <c r="J62" s="121"/>
      <c r="K62" s="121"/>
    </row>
    <row r="63" spans="1:11" ht="14.25" x14ac:dyDescent="0.45">
      <c r="A63" s="132" t="s">
        <v>81</v>
      </c>
      <c r="B63" s="118"/>
      <c r="C63" s="118">
        <v>43</v>
      </c>
      <c r="D63" s="118">
        <v>100</v>
      </c>
      <c r="E63" s="133">
        <f>SUMIFS(Anlægsønsker!D$13:D$374,Anlægsønsker!$I$13:$I$374,"x",Anlægsønsker!$C$13:$C$374,"43")</f>
        <v>0</v>
      </c>
      <c r="F63" s="133">
        <f>SUMIFS(Anlægsønsker!E$13:E$374,Anlægsønsker!$I$13:$I$374,"x",Anlægsønsker!$C$13:$C$374,"43")</f>
        <v>0</v>
      </c>
      <c r="G63" s="133">
        <f>SUMIFS(Anlægsønsker!F$13:F$374,Anlægsønsker!$I$13:$I$374,"x",Anlægsønsker!$C$13:$C$374,"43")</f>
        <v>0</v>
      </c>
      <c r="H63" s="170">
        <f>SUMIFS(Anlægsønsker!G$13:G$374,Anlægsønsker!$I$13:$I$374,"x",Anlægsønsker!$C$13:$C$374,"43")</f>
        <v>0</v>
      </c>
      <c r="I63" s="118"/>
      <c r="J63" s="121" t="s">
        <v>71</v>
      </c>
      <c r="K63" s="121" t="s">
        <v>71</v>
      </c>
    </row>
    <row r="64" spans="1:11" ht="14.25" x14ac:dyDescent="0.45">
      <c r="A64" s="132"/>
      <c r="B64" s="118"/>
      <c r="C64" s="118"/>
      <c r="D64" s="118"/>
      <c r="E64" s="118"/>
      <c r="F64" s="118"/>
      <c r="G64" s="118"/>
      <c r="H64" s="171"/>
      <c r="I64" s="118"/>
      <c r="J64" s="121"/>
      <c r="K64" s="121"/>
    </row>
    <row r="65" spans="1:11" ht="14.25" x14ac:dyDescent="0.45">
      <c r="A65" s="172" t="s">
        <v>97</v>
      </c>
      <c r="B65" s="118"/>
      <c r="C65" s="118"/>
      <c r="D65" s="118"/>
      <c r="E65" s="118"/>
      <c r="F65" s="118"/>
      <c r="G65" s="118"/>
      <c r="H65" s="171"/>
      <c r="I65" s="118"/>
      <c r="J65" s="121"/>
      <c r="K65" s="121"/>
    </row>
    <row r="66" spans="1:11" ht="14.25" x14ac:dyDescent="0.45">
      <c r="A66" s="132" t="s">
        <v>81</v>
      </c>
      <c r="B66" s="118"/>
      <c r="C66" s="118">
        <v>44</v>
      </c>
      <c r="D66" s="118">
        <v>100</v>
      </c>
      <c r="E66" s="133">
        <f>SUMIFS(Anlægsønsker!D$13:D$374,Anlægsønsker!$I$13:$I$374,"x",Anlægsønsker!$C$13:$C$374,"44")</f>
        <v>0</v>
      </c>
      <c r="F66" s="133">
        <f>SUMIFS(Anlægsønsker!E$13:E$374,Anlægsønsker!$I$13:$I$374,"x",Anlægsønsker!$C$13:$C$374,"44")</f>
        <v>0</v>
      </c>
      <c r="G66" s="133">
        <f>SUMIFS(Anlægsønsker!F$13:F$374,Anlægsønsker!$I$13:$I$374,"x",Anlægsønsker!$C$13:$C$374,"44")</f>
        <v>0</v>
      </c>
      <c r="H66" s="170">
        <f>SUMIFS(Anlægsønsker!G$13:G$374,Anlægsønsker!$I$13:$I$374,"x",Anlægsønsker!$C$13:$C$374,"44")</f>
        <v>0</v>
      </c>
      <c r="I66" s="118"/>
      <c r="J66" s="121" t="s">
        <v>71</v>
      </c>
      <c r="K66" s="121" t="s">
        <v>71</v>
      </c>
    </row>
    <row r="67" spans="1:11" ht="14.25" x14ac:dyDescent="0.45">
      <c r="A67" s="132"/>
      <c r="B67" s="118"/>
      <c r="C67" s="118"/>
      <c r="D67" s="118"/>
      <c r="E67" s="118"/>
      <c r="F67" s="118"/>
      <c r="G67" s="118"/>
      <c r="H67" s="171"/>
      <c r="I67" s="118"/>
      <c r="J67" s="121"/>
      <c r="K67" s="121"/>
    </row>
    <row r="68" spans="1:11" ht="14.25" x14ac:dyDescent="0.45">
      <c r="A68" s="172" t="s">
        <v>456</v>
      </c>
      <c r="B68" s="118"/>
      <c r="C68" s="118"/>
      <c r="D68" s="118"/>
      <c r="E68" s="118"/>
      <c r="F68" s="118"/>
      <c r="G68" s="118"/>
      <c r="H68" s="171"/>
      <c r="I68" s="118"/>
      <c r="J68" s="121"/>
      <c r="K68" s="121"/>
    </row>
    <row r="69" spans="1:11" ht="14.25" x14ac:dyDescent="0.45">
      <c r="A69" s="132" t="s">
        <v>81</v>
      </c>
      <c r="B69" s="118"/>
      <c r="C69" s="118">
        <v>45</v>
      </c>
      <c r="D69" s="118">
        <v>100</v>
      </c>
      <c r="E69" s="133">
        <f>SUMIFS(Anlægsønsker!D$13:D$374,Anlægsønsker!$I$13:$I$374,"x",Anlægsønsker!$C$13:$C$374,"45")</f>
        <v>35</v>
      </c>
      <c r="F69" s="133">
        <f>SUMIFS(Anlægsønsker!E$13:E$374,Anlægsønsker!$I$13:$I$374,"x",Anlægsønsker!$C$13:$C$374,"45")</f>
        <v>35</v>
      </c>
      <c r="G69" s="133">
        <f>SUMIFS(Anlægsønsker!F$13:F$374,Anlægsønsker!$I$13:$I$374,"x",Anlægsønsker!$C$13:$C$374,"45")</f>
        <v>35</v>
      </c>
      <c r="H69" s="170">
        <f>SUMIFS(Anlægsønsker!G$13:G$374,Anlægsønsker!$I$13:$I$374,"x",Anlægsønsker!$C$13:$C$374,"45")</f>
        <v>35</v>
      </c>
      <c r="I69" s="118"/>
      <c r="J69" s="121" t="s">
        <v>71</v>
      </c>
      <c r="K69" s="121" t="s">
        <v>71</v>
      </c>
    </row>
    <row r="70" spans="1:11" ht="14.25" x14ac:dyDescent="0.45">
      <c r="A70" s="132"/>
      <c r="B70" s="118"/>
      <c r="C70" s="118"/>
      <c r="D70" s="118"/>
      <c r="E70" s="118"/>
      <c r="F70" s="118"/>
      <c r="G70" s="118"/>
      <c r="H70" s="171"/>
      <c r="I70" s="118"/>
      <c r="J70" s="121"/>
      <c r="K70" s="121"/>
    </row>
    <row r="71" spans="1:11" ht="14.25" x14ac:dyDescent="0.45">
      <c r="A71" s="172" t="s">
        <v>98</v>
      </c>
      <c r="B71" s="118"/>
      <c r="C71" s="118"/>
      <c r="D71" s="118"/>
      <c r="E71" s="118"/>
      <c r="F71" s="118"/>
      <c r="G71" s="118"/>
      <c r="H71" s="171"/>
      <c r="I71" s="118"/>
      <c r="J71" s="121"/>
      <c r="K71" s="121"/>
    </row>
    <row r="72" spans="1:11" ht="14.25" x14ac:dyDescent="0.45">
      <c r="A72" s="132" t="s">
        <v>81</v>
      </c>
      <c r="B72" s="118"/>
      <c r="C72" s="118">
        <v>46</v>
      </c>
      <c r="D72" s="118">
        <v>100</v>
      </c>
      <c r="E72" s="133">
        <f>SUMIFS(Anlægsønsker!D$13:D$374,Anlægsønsker!$I$13:$I$374,"x",Anlægsønsker!$C$13:$C$374,"46")</f>
        <v>0</v>
      </c>
      <c r="F72" s="133">
        <f>SUMIFS(Anlægsønsker!E$13:E$374,Anlægsønsker!$I$13:$I$374,"x",Anlægsønsker!$C$13:$C$374,"46")</f>
        <v>0</v>
      </c>
      <c r="G72" s="133">
        <f>SUMIFS(Anlægsønsker!F$13:F$374,Anlægsønsker!$I$13:$I$374,"x",Anlægsønsker!$C$13:$C$374,"46")</f>
        <v>0</v>
      </c>
      <c r="H72" s="170">
        <f>SUMIFS(Anlægsønsker!G$13:G$374,Anlægsønsker!$I$13:$I$374,"x",Anlægsønsker!$C$13:$C$374,"46")</f>
        <v>0</v>
      </c>
      <c r="I72" s="118"/>
      <c r="J72" s="121" t="s">
        <v>71</v>
      </c>
      <c r="K72" s="121" t="s">
        <v>71</v>
      </c>
    </row>
    <row r="73" spans="1:11" ht="14.25" x14ac:dyDescent="0.45">
      <c r="A73" s="132"/>
      <c r="B73" s="118"/>
      <c r="C73" s="118"/>
      <c r="D73" s="118"/>
      <c r="E73" s="133"/>
      <c r="F73" s="133"/>
      <c r="G73" s="133"/>
      <c r="H73" s="170"/>
      <c r="I73" s="118"/>
      <c r="J73" s="121"/>
      <c r="K73" s="121"/>
    </row>
    <row r="74" spans="1:11" ht="14.25" x14ac:dyDescent="0.45">
      <c r="A74" s="792" t="s">
        <v>435</v>
      </c>
      <c r="B74" s="118"/>
      <c r="C74" s="118"/>
      <c r="D74" s="118"/>
      <c r="E74" s="133"/>
      <c r="F74" s="133"/>
      <c r="G74" s="133"/>
      <c r="H74" s="170"/>
      <c r="I74" s="118"/>
      <c r="J74" s="121"/>
      <c r="K74" s="121"/>
    </row>
    <row r="75" spans="1:11" ht="14.25" x14ac:dyDescent="0.45">
      <c r="A75" s="132" t="s">
        <v>81</v>
      </c>
      <c r="B75" s="118"/>
      <c r="C75" s="118">
        <v>47</v>
      </c>
      <c r="D75" s="118">
        <v>100</v>
      </c>
      <c r="E75" s="133">
        <f>SUMIFS(Anlægsønsker!D$13:D$374,Anlægsønsker!$I$13:$I$374,"x",Anlægsønsker!$C$13:$C$374,"50")</f>
        <v>100</v>
      </c>
      <c r="F75" s="133">
        <f>SUMIFS(Anlægsønsker!E$13:E$374,Anlægsønsker!$I$13:$I$374,"x",Anlægsønsker!$C$13:$C$374,"50")</f>
        <v>-60</v>
      </c>
      <c r="G75" s="133">
        <f>SUMIFS(Anlægsønsker!F$13:F$374,Anlægsønsker!$I$13:$I$374,"x",Anlægsønsker!$C$13:$C$374,"50")</f>
        <v>210</v>
      </c>
      <c r="H75" s="170">
        <f>SUMIFS(Anlægsønsker!G$13:G$374,Anlægsønsker!$I$13:$I$374,"x",Anlægsønsker!$C$13:$C$374,"50")</f>
        <v>210</v>
      </c>
      <c r="I75" s="118"/>
      <c r="J75" s="121" t="s">
        <v>71</v>
      </c>
      <c r="K75" s="121"/>
    </row>
    <row r="76" spans="1:11" ht="14.65" thickBot="1" x14ac:dyDescent="0.5">
      <c r="A76" s="119"/>
      <c r="B76" s="120"/>
      <c r="C76" s="120"/>
      <c r="D76" s="120"/>
      <c r="E76" s="120"/>
      <c r="F76" s="120"/>
      <c r="G76" s="120"/>
      <c r="H76" s="173"/>
      <c r="I76" s="118"/>
      <c r="J76" s="174"/>
      <c r="K76" s="174"/>
    </row>
  </sheetData>
  <mergeCells count="2">
    <mergeCell ref="A2:H2"/>
    <mergeCell ref="A8:B8"/>
  </mergeCells>
  <pageMargins left="0.70866141732283472" right="0.70866141732283472" top="0.74803149606299213" bottom="0.74803149606299213" header="0.31496062992125984" footer="0.31496062992125984"/>
  <pageSetup paperSize="9" scale="85" fitToHeight="5" orientation="landscape" r:id="rId1"/>
  <rowBreaks count="1" manualBreakCount="1">
    <brk id="39" max="9" man="1"/>
  </row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IT388"/>
  <sheetViews>
    <sheetView workbookViewId="0"/>
  </sheetViews>
  <sheetFormatPr defaultColWidth="8.53125" defaultRowHeight="12.75" x14ac:dyDescent="0.35"/>
  <cols>
    <col min="1" max="1" width="83.1328125" customWidth="1"/>
    <col min="2" max="2" width="24.53125" customWidth="1"/>
    <col min="3" max="3" width="5.46484375" customWidth="1"/>
    <col min="4" max="4" width="9.46484375" customWidth="1"/>
    <col min="5" max="5" width="2.46484375" style="382" customWidth="1"/>
    <col min="6" max="8" width="12.53125" customWidth="1"/>
    <col min="9" max="9" width="13.53125" customWidth="1"/>
    <col min="11" max="11" width="11.53125" customWidth="1"/>
    <col min="12" max="12" width="25.46484375" customWidth="1"/>
    <col min="13" max="14" width="9.46484375" customWidth="1"/>
  </cols>
  <sheetData>
    <row r="2" spans="1:254" ht="46.35" customHeight="1" x14ac:dyDescent="0.6">
      <c r="A2" s="986" t="s">
        <v>49</v>
      </c>
      <c r="B2" s="987"/>
      <c r="C2" s="987"/>
      <c r="D2" s="987"/>
      <c r="E2" s="987"/>
      <c r="F2" s="987"/>
      <c r="G2" s="987"/>
      <c r="H2" s="987"/>
      <c r="I2" s="987"/>
      <c r="K2" s="94"/>
    </row>
    <row r="5" spans="1:254" ht="15.4" thickBot="1" x14ac:dyDescent="0.45">
      <c r="A5" s="546" t="s">
        <v>61</v>
      </c>
      <c r="B5" s="546"/>
      <c r="C5" s="546"/>
      <c r="D5" s="546"/>
      <c r="E5" s="547"/>
      <c r="F5" s="546"/>
      <c r="G5" s="546"/>
      <c r="H5" s="546"/>
      <c r="I5" s="546"/>
      <c r="J5" s="151"/>
      <c r="K5" s="151"/>
      <c r="L5" s="151"/>
      <c r="M5" s="151"/>
      <c r="N5" s="151"/>
      <c r="AY5" s="151"/>
      <c r="AZ5" s="151"/>
      <c r="BA5" s="151"/>
      <c r="BB5" s="151"/>
      <c r="BC5" s="151"/>
      <c r="BD5" s="151"/>
      <c r="BE5" s="151"/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/>
      <c r="BX5" s="151"/>
      <c r="BY5" s="151"/>
      <c r="BZ5" s="151"/>
      <c r="CA5" s="151"/>
      <c r="CB5" s="151"/>
      <c r="CC5" s="151"/>
      <c r="CD5" s="151"/>
      <c r="CE5" s="151"/>
      <c r="CF5" s="151"/>
      <c r="CG5" s="151"/>
      <c r="CH5" s="151"/>
      <c r="CI5" s="151"/>
      <c r="CJ5" s="151"/>
      <c r="CK5" s="151"/>
      <c r="CL5" s="151"/>
      <c r="CM5" s="151"/>
      <c r="CN5" s="151"/>
      <c r="CO5" s="151"/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/>
      <c r="DZ5" s="151"/>
      <c r="EA5" s="151"/>
      <c r="EB5" s="151"/>
      <c r="EC5" s="151"/>
      <c r="ED5" s="151"/>
      <c r="EE5" s="151"/>
      <c r="EF5" s="151"/>
      <c r="EG5" s="151"/>
      <c r="EH5" s="151"/>
      <c r="EI5" s="151"/>
      <c r="EJ5" s="151"/>
      <c r="EK5" s="151"/>
      <c r="EL5" s="151"/>
      <c r="EM5" s="151"/>
      <c r="EN5" s="151"/>
      <c r="EO5" s="151"/>
      <c r="EP5" s="151"/>
      <c r="EQ5" s="151"/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1"/>
      <c r="FG5" s="151"/>
      <c r="FH5" s="151"/>
      <c r="FI5" s="151"/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1"/>
      <c r="GJ5" s="151"/>
      <c r="GK5" s="151"/>
      <c r="GL5" s="151"/>
      <c r="GM5" s="151"/>
      <c r="GN5" s="151"/>
      <c r="GO5" s="151"/>
      <c r="GP5" s="151"/>
      <c r="GQ5" s="151"/>
      <c r="GR5" s="151"/>
      <c r="GS5" s="151"/>
      <c r="GT5" s="151"/>
      <c r="GU5" s="151"/>
      <c r="GV5" s="151"/>
      <c r="GW5" s="151"/>
      <c r="GX5" s="151"/>
      <c r="GY5" s="151"/>
      <c r="GZ5" s="151"/>
      <c r="HA5" s="151"/>
      <c r="HB5" s="151"/>
      <c r="HC5" s="151"/>
      <c r="HD5" s="151"/>
      <c r="HE5" s="151"/>
      <c r="HF5" s="151"/>
      <c r="HG5" s="151"/>
      <c r="HH5" s="151"/>
      <c r="HI5" s="151"/>
      <c r="HJ5" s="151"/>
      <c r="HK5" s="151"/>
      <c r="HL5" s="151"/>
      <c r="HM5" s="151"/>
      <c r="HN5" s="151"/>
      <c r="HO5" s="151"/>
      <c r="HP5" s="151"/>
      <c r="HQ5" s="151"/>
      <c r="HR5" s="151"/>
      <c r="HS5" s="151"/>
      <c r="HT5" s="151"/>
      <c r="HU5" s="151"/>
      <c r="HV5" s="151"/>
      <c r="HW5" s="151"/>
      <c r="HX5" s="151"/>
      <c r="HY5" s="151"/>
      <c r="HZ5" s="151"/>
      <c r="IA5" s="151"/>
      <c r="IB5" s="151"/>
      <c r="IC5" s="151"/>
      <c r="ID5" s="151"/>
      <c r="IE5" s="151"/>
      <c r="IF5" s="151"/>
      <c r="IG5" s="151"/>
      <c r="IH5" s="151"/>
      <c r="II5" s="151"/>
      <c r="IJ5" s="151"/>
      <c r="IK5" s="151"/>
      <c r="IL5" s="151"/>
      <c r="IM5" s="151"/>
      <c r="IN5" s="151"/>
      <c r="IO5" s="151"/>
      <c r="IP5" s="151"/>
      <c r="IQ5" s="151"/>
      <c r="IR5" s="151"/>
      <c r="IS5" s="151"/>
      <c r="IT5" s="151"/>
    </row>
    <row r="6" spans="1:254" ht="17.649999999999999" thickTop="1" x14ac:dyDescent="0.45">
      <c r="A6" s="548"/>
      <c r="B6" s="343"/>
      <c r="C6" s="343"/>
      <c r="D6" s="343"/>
      <c r="E6" s="549"/>
      <c r="F6" s="343"/>
      <c r="G6" s="343"/>
      <c r="H6" s="343"/>
      <c r="I6" s="343"/>
    </row>
    <row r="7" spans="1:254" ht="21" customHeight="1" x14ac:dyDescent="0.45">
      <c r="A7" s="548" t="s">
        <v>46</v>
      </c>
      <c r="B7" s="343"/>
      <c r="C7" s="343"/>
      <c r="D7" s="343"/>
      <c r="E7" s="549"/>
      <c r="F7" s="550"/>
      <c r="G7" s="550"/>
      <c r="H7" s="550"/>
      <c r="I7" s="550"/>
    </row>
    <row r="8" spans="1:254" ht="13.15" x14ac:dyDescent="0.4">
      <c r="A8" s="979">
        <f ca="1">NOW()</f>
        <v>46283.024673842592</v>
      </c>
      <c r="B8" s="979"/>
      <c r="C8" s="545"/>
      <c r="F8" s="343"/>
      <c r="G8" s="343"/>
      <c r="H8" s="343"/>
      <c r="I8" s="343"/>
    </row>
    <row r="9" spans="1:254" ht="7.5" customHeight="1" x14ac:dyDescent="0.45">
      <c r="B9" s="343"/>
      <c r="C9" s="343"/>
      <c r="D9" s="344"/>
      <c r="E9" s="551"/>
      <c r="F9" s="343"/>
      <c r="G9" s="343"/>
      <c r="H9" s="343"/>
      <c r="I9" s="343"/>
    </row>
    <row r="10" spans="1:254" ht="15.75" customHeight="1" thickBot="1" x14ac:dyDescent="0.45">
      <c r="A10" s="552" t="s">
        <v>61</v>
      </c>
      <c r="B10" s="343"/>
      <c r="C10" s="343"/>
      <c r="D10" s="343"/>
      <c r="E10" s="549"/>
      <c r="F10" s="343"/>
      <c r="G10" s="343"/>
      <c r="H10" s="343"/>
      <c r="I10" s="343"/>
    </row>
    <row r="11" spans="1:254" ht="13.5" thickBot="1" x14ac:dyDescent="0.45">
      <c r="A11" s="553" t="s">
        <v>64</v>
      </c>
      <c r="B11" s="554"/>
      <c r="C11" s="554" t="s">
        <v>59</v>
      </c>
      <c r="D11" s="555"/>
      <c r="E11" s="556"/>
      <c r="F11" s="555">
        <v>2027</v>
      </c>
      <c r="G11" s="555">
        <f>F11+1</f>
        <v>2028</v>
      </c>
      <c r="H11" s="555">
        <f>G11+1</f>
        <v>2029</v>
      </c>
      <c r="I11" s="557">
        <f>H11+1</f>
        <v>2030</v>
      </c>
      <c r="J11" s="28"/>
      <c r="K11" s="106" t="s">
        <v>65</v>
      </c>
    </row>
    <row r="12" spans="1:254" ht="18" customHeight="1" thickBot="1" x14ac:dyDescent="0.5">
      <c r="A12" s="558" t="s">
        <v>29</v>
      </c>
      <c r="B12" s="559"/>
      <c r="C12" s="559"/>
      <c r="D12" s="560"/>
      <c r="E12" s="561">
        <f>SUMIF(K13:K316,"x",E13:E316)</f>
        <v>0</v>
      </c>
      <c r="F12" s="561">
        <f>SUMIF(K13:K376,"x",F13:F376)</f>
        <v>-270662</v>
      </c>
      <c r="G12" s="561">
        <f>SUMIF(K13:K376,"x",G13:G376)</f>
        <v>-254505</v>
      </c>
      <c r="H12" s="561">
        <f>SUMIF(K13:K376,"x",H13:H376)</f>
        <v>-243911</v>
      </c>
      <c r="I12" s="562">
        <f>SUMIF(K13:K376,"x",I13:I376)</f>
        <v>-232224</v>
      </c>
      <c r="J12" s="118"/>
      <c r="K12" s="176" t="s">
        <v>66</v>
      </c>
      <c r="L12" s="240"/>
    </row>
    <row r="13" spans="1:254" s="181" customFormat="1" ht="12.75" customHeight="1" x14ac:dyDescent="0.45">
      <c r="A13" s="563"/>
      <c r="B13" s="564"/>
      <c r="C13" s="564"/>
      <c r="D13" s="565"/>
      <c r="E13" s="566"/>
      <c r="F13" s="566"/>
      <c r="G13" s="566"/>
      <c r="H13" s="566"/>
      <c r="I13" s="567"/>
      <c r="J13" s="118"/>
      <c r="K13" s="177"/>
      <c r="L13" s="118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</row>
    <row r="14" spans="1:254" s="181" customFormat="1" ht="12.75" customHeight="1" x14ac:dyDescent="0.45">
      <c r="A14" s="393" t="s">
        <v>56</v>
      </c>
      <c r="B14" s="458"/>
      <c r="C14" s="458"/>
      <c r="D14" s="459"/>
      <c r="E14" s="460"/>
      <c r="F14" s="460"/>
      <c r="G14" s="460"/>
      <c r="H14" s="460"/>
      <c r="I14" s="461"/>
      <c r="J14" s="118"/>
      <c r="K14" s="177"/>
      <c r="L14" s="118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</row>
    <row r="15" spans="1:254" s="181" customFormat="1" ht="12.75" customHeight="1" x14ac:dyDescent="0.45">
      <c r="A15" s="220" t="s">
        <v>483</v>
      </c>
      <c r="B15" s="458"/>
      <c r="C15" s="391">
        <v>11</v>
      </c>
      <c r="D15" s="392"/>
      <c r="E15" s="152"/>
      <c r="F15" s="152">
        <v>-6</v>
      </c>
      <c r="G15" s="152">
        <v>-6</v>
      </c>
      <c r="H15" s="152">
        <v>-6</v>
      </c>
      <c r="I15" s="216">
        <v>-6</v>
      </c>
      <c r="J15" s="118"/>
      <c r="K15" s="121" t="s">
        <v>71</v>
      </c>
      <c r="L15" s="118" t="s">
        <v>484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</row>
    <row r="16" spans="1:254" ht="12.75" customHeight="1" x14ac:dyDescent="0.45">
      <c r="A16" s="220" t="s">
        <v>379</v>
      </c>
      <c r="B16" s="391"/>
      <c r="C16" s="391">
        <v>11</v>
      </c>
      <c r="D16" s="392"/>
      <c r="E16" s="152"/>
      <c r="F16" s="152">
        <v>300</v>
      </c>
      <c r="G16" s="152">
        <v>300</v>
      </c>
      <c r="H16" s="152">
        <v>300</v>
      </c>
      <c r="I16" s="216">
        <v>300</v>
      </c>
      <c r="J16" s="595"/>
      <c r="K16" s="121" t="s">
        <v>71</v>
      </c>
      <c r="L16" s="118" t="s">
        <v>402</v>
      </c>
    </row>
    <row r="17" spans="1:17" ht="14.25" x14ac:dyDescent="0.45">
      <c r="A17" s="220" t="s">
        <v>390</v>
      </c>
      <c r="B17" s="391"/>
      <c r="C17" s="391">
        <v>11</v>
      </c>
      <c r="D17" s="392"/>
      <c r="E17" s="152"/>
      <c r="F17" s="152">
        <v>22</v>
      </c>
      <c r="G17" s="152">
        <v>22</v>
      </c>
      <c r="H17" s="152">
        <v>22</v>
      </c>
      <c r="I17" s="216">
        <v>22</v>
      </c>
      <c r="J17" s="595"/>
      <c r="K17" s="121" t="s">
        <v>71</v>
      </c>
      <c r="L17" s="118" t="s">
        <v>391</v>
      </c>
    </row>
    <row r="18" spans="1:17" ht="12.75" customHeight="1" x14ac:dyDescent="0.45">
      <c r="A18" s="220" t="s">
        <v>394</v>
      </c>
      <c r="B18" s="391"/>
      <c r="C18" s="391">
        <v>11</v>
      </c>
      <c r="D18" s="392"/>
      <c r="E18" s="152"/>
      <c r="F18" s="152">
        <v>-27</v>
      </c>
      <c r="G18" s="152">
        <v>-27</v>
      </c>
      <c r="H18" s="152">
        <v>-27</v>
      </c>
      <c r="I18" s="216">
        <v>-27</v>
      </c>
      <c r="J18" s="595"/>
      <c r="K18" s="121" t="s">
        <v>71</v>
      </c>
      <c r="L18" s="118" t="s">
        <v>395</v>
      </c>
    </row>
    <row r="19" spans="1:17" ht="14.25" x14ac:dyDescent="0.45">
      <c r="A19" s="220" t="s">
        <v>396</v>
      </c>
      <c r="B19" s="391"/>
      <c r="C19" s="391">
        <v>11</v>
      </c>
      <c r="D19" s="392"/>
      <c r="E19" s="152"/>
      <c r="F19" s="152">
        <v>272</v>
      </c>
      <c r="G19" s="152">
        <v>272</v>
      </c>
      <c r="H19" s="152">
        <v>272</v>
      </c>
      <c r="I19" s="216">
        <v>272</v>
      </c>
      <c r="J19" s="595"/>
      <c r="K19" s="121" t="s">
        <v>71</v>
      </c>
      <c r="L19" s="118" t="s">
        <v>397</v>
      </c>
    </row>
    <row r="20" spans="1:17" ht="12.75" customHeight="1" x14ac:dyDescent="0.45">
      <c r="A20" s="221" t="s">
        <v>398</v>
      </c>
      <c r="B20" s="391"/>
      <c r="C20" s="391">
        <v>11</v>
      </c>
      <c r="D20" s="392"/>
      <c r="E20" s="152"/>
      <c r="F20" s="152">
        <v>62</v>
      </c>
      <c r="G20" s="152">
        <v>62</v>
      </c>
      <c r="H20" s="152">
        <v>62</v>
      </c>
      <c r="I20" s="216">
        <v>62</v>
      </c>
      <c r="J20" s="595"/>
      <c r="K20" s="121" t="s">
        <v>71</v>
      </c>
      <c r="L20" s="118" t="s">
        <v>397</v>
      </c>
    </row>
    <row r="21" spans="1:17" ht="12.75" customHeight="1" x14ac:dyDescent="0.45">
      <c r="A21" s="221" t="s">
        <v>406</v>
      </c>
      <c r="B21" s="391"/>
      <c r="C21" s="391">
        <v>11</v>
      </c>
      <c r="D21" s="392"/>
      <c r="E21" s="152"/>
      <c r="F21" s="152"/>
      <c r="G21" s="152"/>
      <c r="H21" s="152"/>
      <c r="I21" s="216">
        <f>-3039+1316</f>
        <v>-1723</v>
      </c>
      <c r="J21" s="595"/>
      <c r="K21" s="121" t="s">
        <v>71</v>
      </c>
      <c r="L21" s="118" t="s">
        <v>405</v>
      </c>
    </row>
    <row r="22" spans="1:17" ht="12.75" customHeight="1" x14ac:dyDescent="0.45">
      <c r="A22" s="221" t="s">
        <v>404</v>
      </c>
      <c r="B22" s="391"/>
      <c r="C22" s="391">
        <v>11</v>
      </c>
      <c r="D22" s="392"/>
      <c r="E22" s="152"/>
      <c r="F22" s="152"/>
      <c r="G22" s="152"/>
      <c r="H22" s="152"/>
      <c r="I22" s="216">
        <v>-5712</v>
      </c>
      <c r="J22" s="595"/>
      <c r="K22" s="121" t="s">
        <v>71</v>
      </c>
      <c r="L22" s="118" t="s">
        <v>405</v>
      </c>
    </row>
    <row r="23" spans="1:17" ht="12.75" customHeight="1" x14ac:dyDescent="0.45">
      <c r="A23" s="221" t="s">
        <v>407</v>
      </c>
      <c r="B23" s="391"/>
      <c r="C23" s="391">
        <v>11</v>
      </c>
      <c r="D23" s="392"/>
      <c r="E23" s="152"/>
      <c r="F23" s="152"/>
      <c r="G23" s="152"/>
      <c r="H23" s="152">
        <v>-283</v>
      </c>
      <c r="I23" s="216">
        <v>-40</v>
      </c>
      <c r="J23" s="595"/>
      <c r="K23" s="121" t="s">
        <v>71</v>
      </c>
      <c r="L23" s="118" t="s">
        <v>405</v>
      </c>
    </row>
    <row r="24" spans="1:17" ht="12.75" customHeight="1" x14ac:dyDescent="0.45">
      <c r="A24" s="221" t="s">
        <v>412</v>
      </c>
      <c r="B24" s="471" t="s">
        <v>410</v>
      </c>
      <c r="C24" s="391">
        <v>11</v>
      </c>
      <c r="D24" s="392"/>
      <c r="E24" s="152"/>
      <c r="F24" s="152"/>
      <c r="G24" s="152"/>
      <c r="H24" s="152"/>
      <c r="I24" s="216">
        <v>-488</v>
      </c>
      <c r="J24" s="595"/>
      <c r="K24" s="121" t="s">
        <v>71</v>
      </c>
      <c r="L24" s="118" t="s">
        <v>432</v>
      </c>
    </row>
    <row r="25" spans="1:17" ht="12.75" customHeight="1" x14ac:dyDescent="0.45">
      <c r="A25" s="221" t="s">
        <v>413</v>
      </c>
      <c r="B25" s="471" t="s">
        <v>411</v>
      </c>
      <c r="C25" s="391">
        <v>11</v>
      </c>
      <c r="D25" s="392"/>
      <c r="E25" s="152"/>
      <c r="F25" s="152"/>
      <c r="G25" s="152"/>
      <c r="H25" s="152"/>
      <c r="I25" s="216">
        <v>-252</v>
      </c>
      <c r="J25" s="595"/>
      <c r="K25" s="121" t="s">
        <v>71</v>
      </c>
      <c r="L25" s="118" t="s">
        <v>432</v>
      </c>
    </row>
    <row r="26" spans="1:17" ht="12.75" customHeight="1" x14ac:dyDescent="0.45">
      <c r="A26" s="221" t="s">
        <v>414</v>
      </c>
      <c r="B26" s="471" t="s">
        <v>304</v>
      </c>
      <c r="C26" s="391">
        <v>11</v>
      </c>
      <c r="D26" s="392"/>
      <c r="E26" s="152"/>
      <c r="F26" s="152"/>
      <c r="G26" s="152"/>
      <c r="H26" s="152"/>
      <c r="I26" s="216">
        <v>-15</v>
      </c>
      <c r="J26" s="595"/>
      <c r="K26" s="121" t="s">
        <v>71</v>
      </c>
      <c r="L26" s="118" t="s">
        <v>432</v>
      </c>
    </row>
    <row r="27" spans="1:17" ht="12.75" customHeight="1" x14ac:dyDescent="0.45">
      <c r="A27" s="221" t="s">
        <v>415</v>
      </c>
      <c r="B27" s="471" t="s">
        <v>310</v>
      </c>
      <c r="C27" s="391">
        <v>11</v>
      </c>
      <c r="D27" s="716"/>
      <c r="E27" s="723"/>
      <c r="F27" s="723"/>
      <c r="G27" s="723"/>
      <c r="H27" s="723"/>
      <c r="I27" s="216">
        <v>-15</v>
      </c>
      <c r="J27" s="595"/>
      <c r="K27" s="121" t="s">
        <v>71</v>
      </c>
      <c r="L27" s="118" t="s">
        <v>432</v>
      </c>
      <c r="N27" s="105"/>
      <c r="O27" s="105"/>
      <c r="P27" s="105"/>
      <c r="Q27" s="105"/>
    </row>
    <row r="28" spans="1:17" ht="12.75" customHeight="1" x14ac:dyDescent="0.45">
      <c r="A28" s="221" t="s">
        <v>416</v>
      </c>
      <c r="B28" s="471" t="s">
        <v>311</v>
      </c>
      <c r="C28" s="391">
        <v>11</v>
      </c>
      <c r="D28" s="716"/>
      <c r="E28" s="723"/>
      <c r="F28" s="723"/>
      <c r="G28" s="723"/>
      <c r="H28" s="723"/>
      <c r="I28" s="216">
        <v>-92</v>
      </c>
      <c r="J28" s="595"/>
      <c r="K28" s="121" t="s">
        <v>71</v>
      </c>
      <c r="L28" s="118" t="s">
        <v>432</v>
      </c>
      <c r="N28" s="105"/>
      <c r="O28" s="105"/>
      <c r="P28" s="105"/>
      <c r="Q28" s="105"/>
    </row>
    <row r="29" spans="1:17" ht="12.75" customHeight="1" x14ac:dyDescent="0.45">
      <c r="A29" s="221" t="s">
        <v>448</v>
      </c>
      <c r="B29" s="471" t="s">
        <v>306</v>
      </c>
      <c r="C29" s="391">
        <v>11</v>
      </c>
      <c r="D29" s="716"/>
      <c r="E29" s="723"/>
      <c r="F29" s="723"/>
      <c r="G29" s="723"/>
      <c r="H29" s="723"/>
      <c r="I29" s="216">
        <v>-325</v>
      </c>
      <c r="J29" s="595"/>
      <c r="K29" s="121" t="s">
        <v>71</v>
      </c>
      <c r="L29" s="118" t="s">
        <v>449</v>
      </c>
      <c r="N29" s="105"/>
      <c r="O29" s="105"/>
      <c r="P29" s="105"/>
      <c r="Q29" s="105"/>
    </row>
    <row r="30" spans="1:17" ht="12.75" customHeight="1" x14ac:dyDescent="0.45">
      <c r="A30" s="221" t="s">
        <v>468</v>
      </c>
      <c r="B30" s="391"/>
      <c r="C30" s="391">
        <v>11</v>
      </c>
      <c r="D30" s="392"/>
      <c r="E30" s="152"/>
      <c r="F30" s="152">
        <v>-44</v>
      </c>
      <c r="G30" s="152">
        <v>-44</v>
      </c>
      <c r="H30" s="152">
        <v>-44</v>
      </c>
      <c r="I30" s="216">
        <v>-44</v>
      </c>
      <c r="J30" s="175"/>
      <c r="K30" s="121" t="s">
        <v>71</v>
      </c>
      <c r="L30" s="118" t="s">
        <v>469</v>
      </c>
      <c r="N30" s="105"/>
      <c r="O30" s="105"/>
      <c r="P30" s="105"/>
      <c r="Q30" s="105"/>
    </row>
    <row r="31" spans="1:17" ht="12.75" customHeight="1" x14ac:dyDescent="0.45">
      <c r="A31" s="221" t="s">
        <v>472</v>
      </c>
      <c r="B31" s="796" t="s">
        <v>473</v>
      </c>
      <c r="C31" s="391">
        <v>11</v>
      </c>
      <c r="D31" s="392"/>
      <c r="E31" s="152"/>
      <c r="F31" s="152">
        <v>-900</v>
      </c>
      <c r="G31" s="152">
        <v>-900</v>
      </c>
      <c r="H31" s="152">
        <v>-900</v>
      </c>
      <c r="I31" s="216">
        <v>-900</v>
      </c>
      <c r="J31" s="175"/>
      <c r="K31" s="121" t="s">
        <v>71</v>
      </c>
      <c r="L31" s="118" t="s">
        <v>474</v>
      </c>
      <c r="N31" s="105"/>
      <c r="O31" s="105"/>
      <c r="P31" s="105"/>
      <c r="Q31" s="105"/>
    </row>
    <row r="32" spans="1:17" ht="12.75" customHeight="1" x14ac:dyDescent="0.45">
      <c r="A32" s="221" t="s">
        <v>477</v>
      </c>
      <c r="B32" s="796"/>
      <c r="C32" s="391">
        <v>11</v>
      </c>
      <c r="D32" s="392"/>
      <c r="E32" s="152"/>
      <c r="F32" s="152">
        <v>6</v>
      </c>
      <c r="G32" s="152">
        <v>6</v>
      </c>
      <c r="H32" s="152">
        <v>6</v>
      </c>
      <c r="I32" s="216">
        <v>6</v>
      </c>
      <c r="J32" s="175"/>
      <c r="K32" s="121" t="s">
        <v>71</v>
      </c>
      <c r="L32" s="118" t="s">
        <v>478</v>
      </c>
      <c r="N32" s="105"/>
      <c r="O32" s="105"/>
      <c r="P32" s="105"/>
      <c r="Q32" s="105"/>
    </row>
    <row r="33" spans="1:17" ht="12.75" customHeight="1" x14ac:dyDescent="0.45">
      <c r="A33" s="221" t="s">
        <v>479</v>
      </c>
      <c r="B33" s="796"/>
      <c r="C33" s="391">
        <v>11</v>
      </c>
      <c r="D33" s="392"/>
      <c r="E33" s="152"/>
      <c r="F33" s="152">
        <v>1069</v>
      </c>
      <c r="G33" s="152">
        <v>1055</v>
      </c>
      <c r="H33" s="152">
        <v>1021</v>
      </c>
      <c r="I33" s="216">
        <v>1050</v>
      </c>
      <c r="J33" s="175"/>
      <c r="K33" s="121" t="s">
        <v>71</v>
      </c>
      <c r="L33" s="118" t="s">
        <v>480</v>
      </c>
      <c r="N33" s="105"/>
      <c r="O33" s="105"/>
      <c r="P33" s="105"/>
      <c r="Q33" s="105"/>
    </row>
    <row r="34" spans="1:17" ht="12.75" customHeight="1" x14ac:dyDescent="0.45">
      <c r="A34" s="221" t="s">
        <v>509</v>
      </c>
      <c r="B34" s="796"/>
      <c r="C34" s="391">
        <v>11</v>
      </c>
      <c r="D34" s="392"/>
      <c r="E34" s="152"/>
      <c r="F34" s="152">
        <v>125</v>
      </c>
      <c r="G34" s="152">
        <v>125</v>
      </c>
      <c r="H34" s="152">
        <v>125</v>
      </c>
      <c r="I34" s="216">
        <v>125</v>
      </c>
      <c r="J34" s="175"/>
      <c r="K34" s="121" t="s">
        <v>71</v>
      </c>
      <c r="L34" s="118" t="s">
        <v>508</v>
      </c>
      <c r="N34" s="105"/>
      <c r="O34" s="105"/>
      <c r="P34" s="105"/>
      <c r="Q34" s="105"/>
    </row>
    <row r="35" spans="1:17" ht="12.75" customHeight="1" x14ac:dyDescent="0.45">
      <c r="A35" s="221" t="s">
        <v>579</v>
      </c>
      <c r="B35" s="796"/>
      <c r="C35" s="391">
        <v>11</v>
      </c>
      <c r="D35" s="392"/>
      <c r="E35" s="152"/>
      <c r="F35" s="152">
        <v>-132</v>
      </c>
      <c r="G35" s="152">
        <v>-130</v>
      </c>
      <c r="H35" s="152">
        <v>-130</v>
      </c>
      <c r="I35" s="216">
        <v>-130</v>
      </c>
      <c r="J35" s="175"/>
      <c r="K35" s="121" t="s">
        <v>71</v>
      </c>
      <c r="L35" s="118" t="s">
        <v>580</v>
      </c>
      <c r="N35" s="105"/>
      <c r="O35" s="105"/>
      <c r="P35" s="105"/>
      <c r="Q35" s="105"/>
    </row>
    <row r="36" spans="1:17" ht="12.75" customHeight="1" x14ac:dyDescent="0.45">
      <c r="A36" s="221" t="s">
        <v>585</v>
      </c>
      <c r="B36" s="796"/>
      <c r="C36" s="391">
        <v>11</v>
      </c>
      <c r="D36" s="392"/>
      <c r="E36" s="152"/>
      <c r="F36" s="152">
        <v>114</v>
      </c>
      <c r="G36" s="152">
        <v>114</v>
      </c>
      <c r="H36" s="152">
        <v>114</v>
      </c>
      <c r="I36" s="216">
        <v>114</v>
      </c>
      <c r="J36" s="175"/>
      <c r="K36" s="121" t="s">
        <v>71</v>
      </c>
      <c r="L36" s="118" t="s">
        <v>586</v>
      </c>
      <c r="N36" s="105"/>
      <c r="O36" s="105"/>
      <c r="P36" s="105"/>
      <c r="Q36" s="105"/>
    </row>
    <row r="37" spans="1:17" ht="12.75" customHeight="1" x14ac:dyDescent="0.45">
      <c r="A37" s="221" t="s">
        <v>589</v>
      </c>
      <c r="B37" s="796"/>
      <c r="C37" s="391">
        <v>11</v>
      </c>
      <c r="D37" s="392"/>
      <c r="E37" s="152"/>
      <c r="F37" s="152">
        <v>430</v>
      </c>
      <c r="G37" s="152">
        <v>430</v>
      </c>
      <c r="H37" s="152">
        <v>430</v>
      </c>
      <c r="I37" s="216">
        <v>430</v>
      </c>
      <c r="J37" s="175"/>
      <c r="K37" s="121" t="s">
        <v>71</v>
      </c>
      <c r="L37" s="118" t="s">
        <v>618</v>
      </c>
      <c r="N37" s="105"/>
      <c r="O37" s="105"/>
      <c r="P37" s="105"/>
      <c r="Q37" s="105"/>
    </row>
    <row r="38" spans="1:17" ht="12.75" customHeight="1" x14ac:dyDescent="0.45">
      <c r="A38" s="221" t="s">
        <v>590</v>
      </c>
      <c r="B38" s="796"/>
      <c r="C38" s="391">
        <v>11</v>
      </c>
      <c r="D38" s="392"/>
      <c r="E38" s="152"/>
      <c r="F38" s="152">
        <v>75</v>
      </c>
      <c r="G38" s="152"/>
      <c r="H38" s="152"/>
      <c r="I38" s="216"/>
      <c r="J38" s="175"/>
      <c r="K38" s="121" t="s">
        <v>71</v>
      </c>
      <c r="L38" s="118" t="s">
        <v>618</v>
      </c>
      <c r="N38" s="105"/>
      <c r="O38" s="105"/>
      <c r="P38" s="105"/>
      <c r="Q38" s="105"/>
    </row>
    <row r="39" spans="1:17" ht="12.75" customHeight="1" x14ac:dyDescent="0.45">
      <c r="A39" s="221" t="s">
        <v>591</v>
      </c>
      <c r="B39" s="796"/>
      <c r="C39" s="391">
        <v>11</v>
      </c>
      <c r="D39" s="392"/>
      <c r="E39" s="152"/>
      <c r="F39" s="152">
        <v>-71</v>
      </c>
      <c r="G39" s="152"/>
      <c r="H39" s="152"/>
      <c r="I39" s="216"/>
      <c r="J39" s="175"/>
      <c r="K39" s="121" t="s">
        <v>71</v>
      </c>
      <c r="L39" s="118" t="s">
        <v>618</v>
      </c>
      <c r="N39" s="105"/>
      <c r="O39" s="105"/>
      <c r="P39" s="105"/>
      <c r="Q39" s="105"/>
    </row>
    <row r="40" spans="1:17" ht="12.75" customHeight="1" x14ac:dyDescent="0.45">
      <c r="A40" s="221" t="s">
        <v>592</v>
      </c>
      <c r="B40" s="796"/>
      <c r="C40" s="391">
        <v>11</v>
      </c>
      <c r="D40" s="392"/>
      <c r="E40" s="152"/>
      <c r="F40" s="152"/>
      <c r="G40" s="152">
        <v>-357</v>
      </c>
      <c r="H40" s="152"/>
      <c r="I40" s="216"/>
      <c r="J40" s="175"/>
      <c r="K40" s="121" t="s">
        <v>71</v>
      </c>
      <c r="L40" s="118" t="s">
        <v>618</v>
      </c>
      <c r="N40" s="105"/>
      <c r="O40" s="105"/>
      <c r="P40" s="105"/>
      <c r="Q40" s="105"/>
    </row>
    <row r="41" spans="1:17" ht="12.75" customHeight="1" x14ac:dyDescent="0.45">
      <c r="A41" s="221" t="s">
        <v>593</v>
      </c>
      <c r="B41" s="796"/>
      <c r="C41" s="391">
        <v>11</v>
      </c>
      <c r="D41" s="392"/>
      <c r="E41" s="152"/>
      <c r="F41" s="152">
        <v>95</v>
      </c>
      <c r="G41" s="152">
        <v>95</v>
      </c>
      <c r="H41" s="152">
        <v>95</v>
      </c>
      <c r="I41" s="216">
        <v>95</v>
      </c>
      <c r="J41" s="175"/>
      <c r="K41" s="121" t="s">
        <v>71</v>
      </c>
      <c r="L41" s="118" t="s">
        <v>618</v>
      </c>
      <c r="N41" s="105"/>
      <c r="O41" s="105"/>
      <c r="P41" s="105"/>
      <c r="Q41" s="105"/>
    </row>
    <row r="42" spans="1:17" ht="12.75" customHeight="1" x14ac:dyDescent="0.45">
      <c r="A42" s="221" t="s">
        <v>594</v>
      </c>
      <c r="B42" s="796"/>
      <c r="C42" s="391">
        <v>11</v>
      </c>
      <c r="D42" s="392"/>
      <c r="E42" s="152"/>
      <c r="F42" s="152">
        <v>155</v>
      </c>
      <c r="G42" s="152">
        <v>155</v>
      </c>
      <c r="H42" s="152">
        <v>155</v>
      </c>
      <c r="I42" s="216">
        <v>155</v>
      </c>
      <c r="J42" s="175"/>
      <c r="K42" s="121" t="s">
        <v>71</v>
      </c>
      <c r="L42" s="118" t="s">
        <v>618</v>
      </c>
      <c r="N42" s="105"/>
      <c r="O42" s="105"/>
      <c r="P42" s="105"/>
      <c r="Q42" s="105"/>
    </row>
    <row r="43" spans="1:17" ht="12.75" customHeight="1" x14ac:dyDescent="0.45">
      <c r="A43" s="221" t="s">
        <v>611</v>
      </c>
      <c r="B43" s="796"/>
      <c r="C43" s="391">
        <v>11</v>
      </c>
      <c r="D43" s="392"/>
      <c r="E43" s="152"/>
      <c r="F43" s="152">
        <v>17</v>
      </c>
      <c r="G43" s="152">
        <v>15</v>
      </c>
      <c r="H43" s="152"/>
      <c r="I43" s="216"/>
      <c r="J43" s="175"/>
      <c r="K43" s="121" t="s">
        <v>71</v>
      </c>
      <c r="L43" s="118" t="s">
        <v>610</v>
      </c>
      <c r="N43" s="105"/>
      <c r="O43" s="105"/>
      <c r="P43" s="105"/>
      <c r="Q43" s="105"/>
    </row>
    <row r="44" spans="1:17" ht="12.75" customHeight="1" x14ac:dyDescent="0.45">
      <c r="A44" s="221" t="s">
        <v>613</v>
      </c>
      <c r="B44" s="796"/>
      <c r="C44" s="391">
        <v>11</v>
      </c>
      <c r="D44" s="392"/>
      <c r="E44" s="152"/>
      <c r="F44" s="152">
        <v>260</v>
      </c>
      <c r="G44" s="152">
        <v>260</v>
      </c>
      <c r="H44" s="152">
        <v>260</v>
      </c>
      <c r="I44" s="216">
        <v>260</v>
      </c>
      <c r="J44" s="175"/>
      <c r="K44" s="121" t="s">
        <v>71</v>
      </c>
      <c r="L44" s="118" t="s">
        <v>614</v>
      </c>
      <c r="N44" s="105"/>
      <c r="O44" s="105"/>
      <c r="P44" s="105"/>
      <c r="Q44" s="105"/>
    </row>
    <row r="45" spans="1:17" ht="12.75" customHeight="1" x14ac:dyDescent="0.45">
      <c r="A45" s="221" t="s">
        <v>625</v>
      </c>
      <c r="B45" s="796"/>
      <c r="C45" s="391">
        <v>11</v>
      </c>
      <c r="D45" s="392"/>
      <c r="E45" s="152"/>
      <c r="F45" s="152">
        <v>300</v>
      </c>
      <c r="G45" s="152">
        <v>420</v>
      </c>
      <c r="H45" s="152">
        <v>420</v>
      </c>
      <c r="I45" s="216">
        <v>420</v>
      </c>
      <c r="J45" s="175"/>
      <c r="K45" s="121" t="s">
        <v>71</v>
      </c>
      <c r="L45" s="118" t="s">
        <v>587</v>
      </c>
      <c r="N45" s="105"/>
      <c r="O45" s="105"/>
      <c r="P45" s="105"/>
      <c r="Q45" s="105"/>
    </row>
    <row r="46" spans="1:17" ht="12.75" customHeight="1" x14ac:dyDescent="0.45">
      <c r="A46" s="221" t="s">
        <v>630</v>
      </c>
      <c r="B46" s="796"/>
      <c r="C46" s="391">
        <v>11</v>
      </c>
      <c r="D46" s="392"/>
      <c r="E46" s="152"/>
      <c r="F46" s="152">
        <f>273+689+1185</f>
        <v>2147</v>
      </c>
      <c r="G46" s="152">
        <f>441+689+1185</f>
        <v>2315</v>
      </c>
      <c r="H46" s="152">
        <f>476+689+1185</f>
        <v>2350</v>
      </c>
      <c r="I46" s="216">
        <f>498+689+1185</f>
        <v>2372</v>
      </c>
      <c r="J46" s="175"/>
      <c r="K46" s="121" t="s">
        <v>71</v>
      </c>
      <c r="L46" s="118" t="s">
        <v>631</v>
      </c>
      <c r="N46" s="105"/>
      <c r="O46" s="105"/>
      <c r="P46" s="105"/>
      <c r="Q46" s="105"/>
    </row>
    <row r="47" spans="1:17" ht="12.75" customHeight="1" x14ac:dyDescent="0.45">
      <c r="A47" s="221" t="s">
        <v>642</v>
      </c>
      <c r="B47" s="796"/>
      <c r="C47" s="391">
        <v>11</v>
      </c>
      <c r="D47" s="392"/>
      <c r="E47" s="152"/>
      <c r="F47" s="152">
        <v>192</v>
      </c>
      <c r="G47" s="152">
        <v>192</v>
      </c>
      <c r="H47" s="152">
        <v>192</v>
      </c>
      <c r="I47" s="216">
        <v>192</v>
      </c>
      <c r="J47" s="175"/>
      <c r="K47" s="121" t="s">
        <v>71</v>
      </c>
      <c r="L47" s="118" t="s">
        <v>640</v>
      </c>
      <c r="N47" s="105"/>
      <c r="O47" s="105"/>
      <c r="P47" s="105"/>
      <c r="Q47" s="105"/>
    </row>
    <row r="48" spans="1:17" ht="12.75" customHeight="1" x14ac:dyDescent="0.45">
      <c r="A48" s="221" t="s">
        <v>646</v>
      </c>
      <c r="B48" s="796"/>
      <c r="C48" s="391">
        <v>11</v>
      </c>
      <c r="D48" s="392"/>
      <c r="E48" s="152"/>
      <c r="F48" s="152"/>
      <c r="G48" s="152"/>
      <c r="H48" s="152"/>
      <c r="I48" s="216"/>
      <c r="J48" s="175"/>
      <c r="K48" s="121" t="s">
        <v>71</v>
      </c>
      <c r="L48" s="118" t="s">
        <v>774</v>
      </c>
      <c r="N48" s="105"/>
      <c r="O48" s="105"/>
      <c r="P48" s="105"/>
      <c r="Q48" s="105"/>
    </row>
    <row r="49" spans="1:17" ht="12.75" customHeight="1" x14ac:dyDescent="0.45">
      <c r="A49" s="221" t="s">
        <v>647</v>
      </c>
      <c r="B49" s="796"/>
      <c r="C49" s="391">
        <v>11</v>
      </c>
      <c r="D49" s="392"/>
      <c r="E49" s="152"/>
      <c r="F49" s="152">
        <v>85</v>
      </c>
      <c r="G49" s="152">
        <v>0</v>
      </c>
      <c r="H49" s="152">
        <v>0</v>
      </c>
      <c r="I49" s="216">
        <v>85</v>
      </c>
      <c r="J49" s="175"/>
      <c r="K49" s="121" t="s">
        <v>71</v>
      </c>
      <c r="L49" s="118" t="s">
        <v>648</v>
      </c>
      <c r="N49" s="105"/>
      <c r="O49" s="105"/>
      <c r="P49" s="105"/>
      <c r="Q49" s="105"/>
    </row>
    <row r="50" spans="1:17" ht="12.75" customHeight="1" x14ac:dyDescent="0.45">
      <c r="A50" s="221" t="s">
        <v>768</v>
      </c>
      <c r="B50" s="391"/>
      <c r="C50" s="391">
        <v>11</v>
      </c>
      <c r="D50" s="392"/>
      <c r="E50" s="152"/>
      <c r="F50" s="152">
        <v>665</v>
      </c>
      <c r="G50" s="152">
        <v>664</v>
      </c>
      <c r="H50" s="152">
        <v>664</v>
      </c>
      <c r="I50" s="216">
        <v>664</v>
      </c>
      <c r="J50" s="595"/>
      <c r="K50" s="121" t="s">
        <v>71</v>
      </c>
      <c r="L50" s="118" t="s">
        <v>931</v>
      </c>
    </row>
    <row r="51" spans="1:17" ht="12.75" customHeight="1" x14ac:dyDescent="0.45">
      <c r="A51" s="221" t="s">
        <v>769</v>
      </c>
      <c r="B51" s="391"/>
      <c r="C51" s="391">
        <v>11</v>
      </c>
      <c r="D51" s="392"/>
      <c r="E51" s="152"/>
      <c r="F51" s="152">
        <v>-4368</v>
      </c>
      <c r="G51" s="152">
        <v>-4319</v>
      </c>
      <c r="H51" s="152">
        <v>-4177</v>
      </c>
      <c r="I51" s="216">
        <v>-4304</v>
      </c>
      <c r="J51" s="595"/>
      <c r="K51" s="121" t="s">
        <v>71</v>
      </c>
      <c r="L51" s="118" t="s">
        <v>770</v>
      </c>
    </row>
    <row r="52" spans="1:17" ht="12.75" customHeight="1" x14ac:dyDescent="0.45">
      <c r="A52" s="221" t="s">
        <v>777</v>
      </c>
      <c r="B52" s="796"/>
      <c r="C52" s="391">
        <v>11</v>
      </c>
      <c r="D52" s="392"/>
      <c r="E52" s="152"/>
      <c r="F52" s="152">
        <v>4953</v>
      </c>
      <c r="G52" s="152">
        <v>6593</v>
      </c>
      <c r="H52" s="152">
        <v>6593</v>
      </c>
      <c r="I52" s="216">
        <v>6593</v>
      </c>
      <c r="J52" s="175"/>
      <c r="K52" s="121" t="s">
        <v>71</v>
      </c>
      <c r="L52" s="118" t="s">
        <v>778</v>
      </c>
      <c r="N52" s="105"/>
      <c r="O52" s="105"/>
      <c r="P52" s="105"/>
      <c r="Q52" s="105"/>
    </row>
    <row r="53" spans="1:17" ht="12.75" customHeight="1" x14ac:dyDescent="0.45">
      <c r="A53" s="221" t="s">
        <v>789</v>
      </c>
      <c r="B53" s="796"/>
      <c r="C53" s="391">
        <v>11</v>
      </c>
      <c r="D53" s="392"/>
      <c r="E53" s="152"/>
      <c r="F53" s="152">
        <v>-12</v>
      </c>
      <c r="G53" s="152">
        <v>-11</v>
      </c>
      <c r="H53" s="152">
        <v>-12</v>
      </c>
      <c r="I53" s="216">
        <v>-13</v>
      </c>
      <c r="J53" s="175"/>
      <c r="K53" s="121" t="s">
        <v>71</v>
      </c>
      <c r="L53" s="118" t="s">
        <v>790</v>
      </c>
      <c r="N53" s="105"/>
      <c r="O53" s="105"/>
      <c r="P53" s="105"/>
      <c r="Q53" s="105"/>
    </row>
    <row r="54" spans="1:17" ht="12.75" customHeight="1" x14ac:dyDescent="0.45">
      <c r="A54" s="221" t="s">
        <v>791</v>
      </c>
      <c r="B54" s="796"/>
      <c r="C54" s="391">
        <v>11</v>
      </c>
      <c r="D54" s="392"/>
      <c r="E54" s="152"/>
      <c r="F54" s="152">
        <v>171</v>
      </c>
      <c r="G54" s="152">
        <v>171</v>
      </c>
      <c r="H54" s="152">
        <v>171</v>
      </c>
      <c r="I54" s="216">
        <v>171</v>
      </c>
      <c r="J54" s="175"/>
      <c r="K54" s="121" t="s">
        <v>71</v>
      </c>
      <c r="L54" s="118" t="s">
        <v>792</v>
      </c>
      <c r="N54" s="105"/>
      <c r="O54" s="105"/>
      <c r="P54" s="105"/>
      <c r="Q54" s="105"/>
    </row>
    <row r="55" spans="1:17" ht="12.75" customHeight="1" x14ac:dyDescent="0.45">
      <c r="A55" s="221" t="s">
        <v>806</v>
      </c>
      <c r="B55" s="796"/>
      <c r="C55" s="391">
        <v>11</v>
      </c>
      <c r="D55" s="392"/>
      <c r="E55" s="152"/>
      <c r="F55" s="152">
        <f>105-71</f>
        <v>34</v>
      </c>
      <c r="G55" s="152">
        <f t="shared" ref="G55:I55" si="0">105-71</f>
        <v>34</v>
      </c>
      <c r="H55" s="152">
        <f t="shared" si="0"/>
        <v>34</v>
      </c>
      <c r="I55" s="216">
        <f t="shared" si="0"/>
        <v>34</v>
      </c>
      <c r="J55" s="175"/>
      <c r="K55" s="121" t="s">
        <v>71</v>
      </c>
      <c r="L55" s="118" t="s">
        <v>792</v>
      </c>
      <c r="N55" s="105"/>
      <c r="O55" s="105"/>
      <c r="P55" s="105"/>
      <c r="Q55" s="105"/>
    </row>
    <row r="56" spans="1:17" ht="12.75" customHeight="1" x14ac:dyDescent="0.45">
      <c r="A56" s="221" t="s">
        <v>820</v>
      </c>
      <c r="B56" s="796"/>
      <c r="C56" s="391">
        <v>11</v>
      </c>
      <c r="D56" s="392"/>
      <c r="E56" s="152"/>
      <c r="F56" s="152">
        <v>-774</v>
      </c>
      <c r="G56" s="152">
        <v>-288</v>
      </c>
      <c r="H56" s="152">
        <v>-310</v>
      </c>
      <c r="I56" s="216">
        <v>-484</v>
      </c>
      <c r="J56" s="175"/>
      <c r="K56" s="121" t="s">
        <v>71</v>
      </c>
      <c r="L56" s="118" t="s">
        <v>821</v>
      </c>
      <c r="N56" s="105"/>
      <c r="O56" s="105"/>
      <c r="P56" s="105"/>
      <c r="Q56" s="105"/>
    </row>
    <row r="57" spans="1:17" ht="12.75" customHeight="1" x14ac:dyDescent="0.45">
      <c r="A57" s="788" t="s">
        <v>892</v>
      </c>
      <c r="B57" s="812"/>
      <c r="C57" s="616">
        <v>11</v>
      </c>
      <c r="D57" s="716"/>
      <c r="E57" s="723"/>
      <c r="F57" s="723">
        <v>64</v>
      </c>
      <c r="G57" s="723">
        <v>64</v>
      </c>
      <c r="H57" s="723">
        <v>64</v>
      </c>
      <c r="I57" s="472">
        <v>64</v>
      </c>
      <c r="J57" s="595"/>
      <c r="K57" s="790"/>
      <c r="L57" s="789" t="s">
        <v>804</v>
      </c>
      <c r="M57" s="105"/>
      <c r="N57" s="105"/>
      <c r="O57" s="105"/>
      <c r="P57" s="105"/>
      <c r="Q57" s="105"/>
    </row>
    <row r="58" spans="1:17" ht="12.75" customHeight="1" x14ac:dyDescent="0.45">
      <c r="A58" s="221" t="s">
        <v>854</v>
      </c>
      <c r="B58" s="391"/>
      <c r="C58" s="391">
        <v>11</v>
      </c>
      <c r="D58" s="392"/>
      <c r="E58" s="152"/>
      <c r="F58" s="152">
        <v>-1185</v>
      </c>
      <c r="G58" s="152">
        <v>-1185</v>
      </c>
      <c r="H58" s="152">
        <v>-1185</v>
      </c>
      <c r="I58" s="216">
        <v>-1185</v>
      </c>
      <c r="J58" s="595"/>
      <c r="K58" s="121" t="s">
        <v>71</v>
      </c>
      <c r="L58" s="118" t="s">
        <v>864</v>
      </c>
    </row>
    <row r="59" spans="1:17" ht="12.75" customHeight="1" x14ac:dyDescent="0.45">
      <c r="A59" s="221" t="s">
        <v>878</v>
      </c>
      <c r="B59" s="391"/>
      <c r="C59" s="391">
        <v>11</v>
      </c>
      <c r="D59" s="392"/>
      <c r="E59" s="152"/>
      <c r="F59" s="152">
        <v>127</v>
      </c>
      <c r="G59" s="152"/>
      <c r="H59" s="152"/>
      <c r="I59" s="216"/>
      <c r="J59" s="595"/>
      <c r="K59" s="121" t="s">
        <v>71</v>
      </c>
      <c r="L59" s="118" t="s">
        <v>879</v>
      </c>
    </row>
    <row r="60" spans="1:17" ht="12.75" customHeight="1" x14ac:dyDescent="0.45">
      <c r="A60" s="221" t="s">
        <v>660</v>
      </c>
      <c r="B60" s="796"/>
      <c r="C60" s="391">
        <v>11</v>
      </c>
      <c r="D60" s="392"/>
      <c r="E60" s="152"/>
      <c r="F60" s="152">
        <v>1143</v>
      </c>
      <c r="G60" s="152">
        <v>1143</v>
      </c>
      <c r="H60" s="152">
        <v>1143</v>
      </c>
      <c r="I60" s="216">
        <v>1143</v>
      </c>
      <c r="J60" s="175"/>
      <c r="K60" s="121" t="s">
        <v>71</v>
      </c>
      <c r="L60" s="118" t="s">
        <v>811</v>
      </c>
    </row>
    <row r="61" spans="1:17" ht="12.75" customHeight="1" x14ac:dyDescent="0.45">
      <c r="A61" s="221" t="s">
        <v>661</v>
      </c>
      <c r="B61" s="391"/>
      <c r="C61" s="391">
        <v>11</v>
      </c>
      <c r="D61" s="392"/>
      <c r="E61" s="152"/>
      <c r="F61" s="152">
        <v>30</v>
      </c>
      <c r="G61" s="152">
        <v>60</v>
      </c>
      <c r="H61" s="152">
        <v>90</v>
      </c>
      <c r="I61" s="216">
        <v>120</v>
      </c>
      <c r="J61" s="175"/>
      <c r="K61" s="121" t="s">
        <v>71</v>
      </c>
      <c r="L61" s="118" t="s">
        <v>811</v>
      </c>
    </row>
    <row r="62" spans="1:17" ht="12.75" customHeight="1" x14ac:dyDescent="0.45">
      <c r="A62" s="221" t="s">
        <v>815</v>
      </c>
      <c r="B62" s="796"/>
      <c r="C62" s="391">
        <v>11</v>
      </c>
      <c r="D62" s="392"/>
      <c r="E62" s="152"/>
      <c r="F62" s="152"/>
      <c r="G62" s="152"/>
      <c r="H62" s="152">
        <v>21</v>
      </c>
      <c r="I62" s="216">
        <v>21</v>
      </c>
      <c r="J62" s="175"/>
      <c r="K62" s="121" t="s">
        <v>71</v>
      </c>
      <c r="L62" s="118" t="s">
        <v>917</v>
      </c>
    </row>
    <row r="63" spans="1:17" ht="12.75" customHeight="1" x14ac:dyDescent="0.45">
      <c r="A63" s="221" t="s">
        <v>893</v>
      </c>
      <c r="B63" s="796"/>
      <c r="C63" s="391">
        <v>11</v>
      </c>
      <c r="D63" s="392"/>
      <c r="E63" s="152"/>
      <c r="F63" s="152">
        <v>90</v>
      </c>
      <c r="G63" s="152"/>
      <c r="H63" s="152"/>
      <c r="I63" s="216"/>
      <c r="J63" s="175"/>
      <c r="K63" s="121" t="s">
        <v>71</v>
      </c>
      <c r="L63" s="118" t="s">
        <v>917</v>
      </c>
    </row>
    <row r="64" spans="1:17" ht="12.75" customHeight="1" x14ac:dyDescent="0.45">
      <c r="A64" s="221" t="s">
        <v>894</v>
      </c>
      <c r="B64" s="796"/>
      <c r="C64" s="391">
        <v>11</v>
      </c>
      <c r="D64" s="392"/>
      <c r="E64" s="152"/>
      <c r="F64" s="152">
        <v>270</v>
      </c>
      <c r="G64" s="152">
        <v>270</v>
      </c>
      <c r="H64" s="152">
        <v>270</v>
      </c>
      <c r="I64" s="216">
        <v>270</v>
      </c>
      <c r="J64" s="175"/>
      <c r="K64" s="121" t="s">
        <v>71</v>
      </c>
      <c r="L64" s="118" t="s">
        <v>917</v>
      </c>
    </row>
    <row r="65" spans="1:12" ht="12.75" customHeight="1" x14ac:dyDescent="0.45">
      <c r="A65" s="221" t="s">
        <v>895</v>
      </c>
      <c r="B65" s="796"/>
      <c r="C65" s="391">
        <v>11</v>
      </c>
      <c r="D65" s="392"/>
      <c r="E65" s="152"/>
      <c r="F65" s="152">
        <v>-623</v>
      </c>
      <c r="G65" s="152">
        <v>-623</v>
      </c>
      <c r="H65" s="152">
        <v>-623</v>
      </c>
      <c r="I65" s="216">
        <v>-623</v>
      </c>
      <c r="J65" s="175"/>
      <c r="K65" s="121" t="s">
        <v>71</v>
      </c>
      <c r="L65" s="118" t="s">
        <v>917</v>
      </c>
    </row>
    <row r="66" spans="1:12" ht="12.75" customHeight="1" x14ac:dyDescent="0.45">
      <c r="A66" s="221" t="s">
        <v>982</v>
      </c>
      <c r="B66" s="391"/>
      <c r="C66" s="391">
        <v>11</v>
      </c>
      <c r="D66" s="392"/>
      <c r="E66" s="152"/>
      <c r="F66" s="152">
        <v>109</v>
      </c>
      <c r="G66" s="152">
        <v>109</v>
      </c>
      <c r="H66" s="152">
        <v>109</v>
      </c>
      <c r="I66" s="216">
        <v>109</v>
      </c>
      <c r="J66" s="175"/>
      <c r="K66" s="121" t="s">
        <v>71</v>
      </c>
      <c r="L66" s="118" t="s">
        <v>981</v>
      </c>
    </row>
    <row r="67" spans="1:12" ht="12.75" customHeight="1" x14ac:dyDescent="0.45">
      <c r="A67" s="221" t="s">
        <v>936</v>
      </c>
      <c r="B67" s="391"/>
      <c r="C67" s="391">
        <v>11</v>
      </c>
      <c r="D67" s="392"/>
      <c r="E67" s="152"/>
      <c r="F67" s="152">
        <v>674</v>
      </c>
      <c r="G67" s="152">
        <v>674</v>
      </c>
      <c r="H67" s="152">
        <v>674</v>
      </c>
      <c r="I67" s="216">
        <v>674</v>
      </c>
      <c r="J67" s="175"/>
      <c r="K67" s="121" t="s">
        <v>71</v>
      </c>
      <c r="L67" s="118" t="s">
        <v>937</v>
      </c>
    </row>
    <row r="68" spans="1:12" ht="28.5" x14ac:dyDescent="0.45">
      <c r="A68" s="220" t="s">
        <v>830</v>
      </c>
      <c r="B68" s="391"/>
      <c r="C68" s="391">
        <v>11</v>
      </c>
      <c r="D68" s="392"/>
      <c r="E68" s="152"/>
      <c r="F68" s="152">
        <v>123</v>
      </c>
      <c r="G68" s="147">
        <v>109</v>
      </c>
      <c r="H68" s="147">
        <v>74</v>
      </c>
      <c r="I68" s="216">
        <v>74</v>
      </c>
      <c r="J68" s="34"/>
      <c r="K68" s="121" t="s">
        <v>71</v>
      </c>
      <c r="L68" s="118" t="s">
        <v>931</v>
      </c>
    </row>
    <row r="69" spans="1:12" ht="12.75" customHeight="1" x14ac:dyDescent="0.45">
      <c r="A69" s="221" t="s">
        <v>832</v>
      </c>
      <c r="B69" s="391"/>
      <c r="C69" s="391">
        <v>11</v>
      </c>
      <c r="D69" s="392"/>
      <c r="E69" s="152"/>
      <c r="F69" s="152">
        <v>321</v>
      </c>
      <c r="G69" s="147">
        <v>0</v>
      </c>
      <c r="H69" s="147">
        <v>0</v>
      </c>
      <c r="I69" s="216">
        <v>0</v>
      </c>
      <c r="J69" s="34"/>
      <c r="K69" s="121" t="s">
        <v>71</v>
      </c>
      <c r="L69" s="118" t="s">
        <v>931</v>
      </c>
    </row>
    <row r="70" spans="1:12" ht="12.75" customHeight="1" x14ac:dyDescent="0.45">
      <c r="A70" s="221" t="s">
        <v>952</v>
      </c>
      <c r="B70" s="391"/>
      <c r="C70" s="391">
        <v>11</v>
      </c>
      <c r="D70" s="392"/>
      <c r="E70" s="152"/>
      <c r="F70" s="152">
        <f>410+96</f>
        <v>506</v>
      </c>
      <c r="G70" s="152">
        <v>64</v>
      </c>
      <c r="H70" s="152"/>
      <c r="I70" s="216"/>
      <c r="J70" s="175"/>
      <c r="K70" s="121" t="s">
        <v>71</v>
      </c>
      <c r="L70" s="118" t="s">
        <v>950</v>
      </c>
    </row>
    <row r="71" spans="1:12" ht="12.75" customHeight="1" x14ac:dyDescent="0.45">
      <c r="A71" s="221" t="s">
        <v>955</v>
      </c>
      <c r="B71" s="616"/>
      <c r="C71" s="391">
        <v>11</v>
      </c>
      <c r="D71" s="392"/>
      <c r="E71" s="152"/>
      <c r="F71" s="152">
        <v>385</v>
      </c>
      <c r="G71" s="152">
        <v>385</v>
      </c>
      <c r="H71" s="152">
        <v>0</v>
      </c>
      <c r="I71" s="216">
        <v>0</v>
      </c>
      <c r="J71" s="175"/>
      <c r="K71" s="121" t="s">
        <v>71</v>
      </c>
      <c r="L71" s="118" t="s">
        <v>956</v>
      </c>
    </row>
    <row r="72" spans="1:12" ht="12.75" customHeight="1" x14ac:dyDescent="0.45">
      <c r="A72" s="221"/>
      <c r="B72" s="391"/>
      <c r="C72" s="391"/>
      <c r="D72" s="392"/>
      <c r="E72" s="152"/>
      <c r="F72" s="723"/>
      <c r="G72" s="723"/>
      <c r="H72" s="723"/>
      <c r="I72" s="472"/>
      <c r="J72" s="595"/>
      <c r="K72" s="121"/>
      <c r="L72" s="118"/>
    </row>
    <row r="73" spans="1:12" ht="12.75" customHeight="1" x14ac:dyDescent="0.45">
      <c r="A73" s="393" t="s">
        <v>57</v>
      </c>
      <c r="B73" s="391"/>
      <c r="C73" s="391"/>
      <c r="D73" s="392"/>
      <c r="E73" s="152"/>
      <c r="F73" s="152"/>
      <c r="G73" s="152"/>
      <c r="H73" s="152"/>
      <c r="I73" s="216"/>
      <c r="J73" s="118"/>
      <c r="K73" s="121"/>
      <c r="L73" s="118"/>
    </row>
    <row r="74" spans="1:12" ht="14.25" x14ac:dyDescent="0.45">
      <c r="A74" s="220" t="s">
        <v>386</v>
      </c>
      <c r="B74" s="391"/>
      <c r="C74" s="391">
        <v>12</v>
      </c>
      <c r="D74" s="392"/>
      <c r="E74" s="152"/>
      <c r="F74" s="152"/>
      <c r="G74" s="152"/>
      <c r="H74" s="152">
        <v>2285</v>
      </c>
      <c r="I74" s="216"/>
      <c r="J74" s="595"/>
      <c r="K74" s="121" t="s">
        <v>71</v>
      </c>
      <c r="L74" s="118" t="s">
        <v>387</v>
      </c>
    </row>
    <row r="75" spans="1:12" ht="12.75" customHeight="1" x14ac:dyDescent="0.45">
      <c r="A75" s="221" t="s">
        <v>418</v>
      </c>
      <c r="B75" s="471" t="s">
        <v>419</v>
      </c>
      <c r="C75" s="391">
        <v>12</v>
      </c>
      <c r="D75" s="392"/>
      <c r="E75" s="152"/>
      <c r="F75" s="152"/>
      <c r="G75" s="152"/>
      <c r="H75" s="152">
        <v>670</v>
      </c>
      <c r="I75" s="216">
        <v>670</v>
      </c>
      <c r="J75" s="118"/>
      <c r="K75" s="121" t="s">
        <v>71</v>
      </c>
      <c r="L75" s="118" t="s">
        <v>432</v>
      </c>
    </row>
    <row r="76" spans="1:12" ht="12.75" customHeight="1" x14ac:dyDescent="0.45">
      <c r="A76" s="221" t="s">
        <v>420</v>
      </c>
      <c r="B76" s="471" t="s">
        <v>410</v>
      </c>
      <c r="C76" s="391">
        <v>12</v>
      </c>
      <c r="D76" s="392"/>
      <c r="E76" s="152"/>
      <c r="F76" s="152"/>
      <c r="G76" s="152"/>
      <c r="H76" s="152"/>
      <c r="I76" s="216">
        <v>-81</v>
      </c>
      <c r="J76" s="118"/>
      <c r="K76" s="121" t="s">
        <v>71</v>
      </c>
      <c r="L76" s="118" t="s">
        <v>432</v>
      </c>
    </row>
    <row r="77" spans="1:12" ht="12.75" customHeight="1" x14ac:dyDescent="0.45">
      <c r="A77" s="221" t="s">
        <v>423</v>
      </c>
      <c r="B77" s="471" t="s">
        <v>417</v>
      </c>
      <c r="C77" s="391">
        <v>12</v>
      </c>
      <c r="D77" s="392"/>
      <c r="E77" s="152"/>
      <c r="F77" s="152"/>
      <c r="G77" s="152"/>
      <c r="H77" s="152"/>
      <c r="I77" s="216">
        <v>-266</v>
      </c>
      <c r="J77" s="175"/>
      <c r="K77" s="121" t="s">
        <v>71</v>
      </c>
      <c r="L77" s="118" t="s">
        <v>432</v>
      </c>
    </row>
    <row r="78" spans="1:12" ht="12.75" customHeight="1" x14ac:dyDescent="0.45">
      <c r="A78" s="221" t="s">
        <v>424</v>
      </c>
      <c r="B78" s="471" t="s">
        <v>410</v>
      </c>
      <c r="C78" s="391">
        <v>12</v>
      </c>
      <c r="D78" s="392"/>
      <c r="E78" s="152"/>
      <c r="F78" s="152"/>
      <c r="G78" s="152"/>
      <c r="H78" s="152">
        <v>-386</v>
      </c>
      <c r="I78" s="216">
        <v>-386</v>
      </c>
      <c r="J78" s="175"/>
      <c r="K78" s="121" t="s">
        <v>71</v>
      </c>
      <c r="L78" s="118" t="s">
        <v>432</v>
      </c>
    </row>
    <row r="79" spans="1:12" ht="12.75" customHeight="1" x14ac:dyDescent="0.45">
      <c r="A79" s="221" t="s">
        <v>421</v>
      </c>
      <c r="B79" s="471" t="s">
        <v>411</v>
      </c>
      <c r="C79" s="391">
        <v>12</v>
      </c>
      <c r="D79" s="152"/>
      <c r="E79" s="152"/>
      <c r="F79" s="152"/>
      <c r="G79" s="152"/>
      <c r="H79" s="152"/>
      <c r="I79" s="216">
        <v>-42</v>
      </c>
      <c r="J79" s="175"/>
      <c r="K79" s="121" t="s">
        <v>71</v>
      </c>
      <c r="L79" s="118" t="s">
        <v>432</v>
      </c>
    </row>
    <row r="80" spans="1:12" ht="12.75" customHeight="1" x14ac:dyDescent="0.45">
      <c r="A80" s="221" t="s">
        <v>422</v>
      </c>
      <c r="B80" s="471" t="s">
        <v>311</v>
      </c>
      <c r="C80" s="391">
        <v>12</v>
      </c>
      <c r="D80" s="392"/>
      <c r="E80" s="152"/>
      <c r="F80" s="152"/>
      <c r="G80" s="152"/>
      <c r="H80" s="152"/>
      <c r="I80" s="216">
        <v>-16</v>
      </c>
      <c r="J80" s="595"/>
      <c r="K80" s="121" t="s">
        <v>71</v>
      </c>
      <c r="L80" s="118" t="s">
        <v>432</v>
      </c>
    </row>
    <row r="81" spans="1:14" ht="12.75" customHeight="1" x14ac:dyDescent="0.45">
      <c r="A81" s="221" t="s">
        <v>479</v>
      </c>
      <c r="B81" s="471"/>
      <c r="C81" s="391">
        <v>12</v>
      </c>
      <c r="D81" s="392"/>
      <c r="E81" s="152"/>
      <c r="F81" s="152">
        <v>-4301</v>
      </c>
      <c r="G81" s="152">
        <v>-4314</v>
      </c>
      <c r="H81" s="152">
        <v>-4350</v>
      </c>
      <c r="I81" s="216">
        <v>-4322</v>
      </c>
      <c r="J81" s="175"/>
      <c r="K81" s="121" t="s">
        <v>71</v>
      </c>
      <c r="L81" s="118" t="s">
        <v>481</v>
      </c>
    </row>
    <row r="82" spans="1:14" ht="12.75" customHeight="1" x14ac:dyDescent="0.45">
      <c r="A82" s="221" t="s">
        <v>503</v>
      </c>
      <c r="B82" s="471"/>
      <c r="C82" s="391">
        <v>12</v>
      </c>
      <c r="D82" s="392"/>
      <c r="E82" s="152"/>
      <c r="F82" s="152">
        <v>-3500</v>
      </c>
      <c r="G82" s="152">
        <v>0</v>
      </c>
      <c r="H82" s="152">
        <v>0</v>
      </c>
      <c r="I82" s="216">
        <v>0</v>
      </c>
      <c r="J82" s="175"/>
      <c r="K82" s="121" t="s">
        <v>71</v>
      </c>
      <c r="L82" s="118" t="s">
        <v>505</v>
      </c>
    </row>
    <row r="83" spans="1:14" ht="12.75" customHeight="1" x14ac:dyDescent="0.45">
      <c r="A83" s="221" t="s">
        <v>579</v>
      </c>
      <c r="B83" s="471"/>
      <c r="C83" s="391">
        <v>12</v>
      </c>
      <c r="D83" s="392"/>
      <c r="E83" s="152"/>
      <c r="F83" s="152">
        <v>-9</v>
      </c>
      <c r="G83" s="152">
        <v>-9</v>
      </c>
      <c r="H83" s="152">
        <v>-9</v>
      </c>
      <c r="I83" s="216">
        <v>-9</v>
      </c>
      <c r="J83" s="118"/>
      <c r="K83" s="121" t="s">
        <v>71</v>
      </c>
      <c r="L83" s="118" t="s">
        <v>580</v>
      </c>
    </row>
    <row r="84" spans="1:14" ht="12.75" customHeight="1" x14ac:dyDescent="0.45">
      <c r="A84" s="221" t="s">
        <v>615</v>
      </c>
      <c r="B84" s="391"/>
      <c r="C84" s="391">
        <v>12</v>
      </c>
      <c r="D84" s="392"/>
      <c r="E84" s="152"/>
      <c r="F84" s="152">
        <v>-5786</v>
      </c>
      <c r="G84" s="152">
        <v>214</v>
      </c>
      <c r="H84" s="152">
        <v>214</v>
      </c>
      <c r="I84" s="216">
        <v>214</v>
      </c>
      <c r="J84" s="118"/>
      <c r="K84" s="121" t="s">
        <v>71</v>
      </c>
      <c r="L84" s="118" t="s">
        <v>614</v>
      </c>
    </row>
    <row r="85" spans="1:14" ht="12.75" customHeight="1" x14ac:dyDescent="0.45">
      <c r="A85" s="221" t="s">
        <v>646</v>
      </c>
      <c r="B85" s="391"/>
      <c r="C85" s="391">
        <v>12</v>
      </c>
      <c r="D85" s="392"/>
      <c r="E85" s="152"/>
      <c r="F85" s="152"/>
      <c r="G85" s="152"/>
      <c r="H85" s="152"/>
      <c r="I85" s="216"/>
      <c r="J85" s="118"/>
      <c r="K85" s="121" t="s">
        <v>71</v>
      </c>
      <c r="L85" s="118" t="s">
        <v>774</v>
      </c>
      <c r="N85" s="105"/>
    </row>
    <row r="86" spans="1:14" ht="12.75" customHeight="1" x14ac:dyDescent="0.45">
      <c r="A86" s="221" t="s">
        <v>647</v>
      </c>
      <c r="B86" s="391"/>
      <c r="C86" s="391">
        <v>12</v>
      </c>
      <c r="D86" s="392"/>
      <c r="E86" s="152"/>
      <c r="F86" s="152">
        <v>625</v>
      </c>
      <c r="G86" s="152">
        <v>834</v>
      </c>
      <c r="H86" s="152">
        <v>834</v>
      </c>
      <c r="I86" s="216">
        <v>209</v>
      </c>
      <c r="J86" s="118"/>
      <c r="K86" s="121" t="s">
        <v>71</v>
      </c>
      <c r="L86" s="118" t="s">
        <v>648</v>
      </c>
    </row>
    <row r="87" spans="1:14" ht="12.75" customHeight="1" x14ac:dyDescent="0.45">
      <c r="A87" s="221" t="s">
        <v>769</v>
      </c>
      <c r="B87" s="391"/>
      <c r="C87" s="391">
        <v>12</v>
      </c>
      <c r="D87" s="392"/>
      <c r="E87" s="152"/>
      <c r="F87" s="152">
        <v>2365</v>
      </c>
      <c r="G87" s="152">
        <v>2376</v>
      </c>
      <c r="H87" s="152">
        <v>2380</v>
      </c>
      <c r="I87" s="216">
        <v>2376</v>
      </c>
      <c r="J87" s="118"/>
      <c r="K87" s="121" t="s">
        <v>71</v>
      </c>
      <c r="L87" s="118" t="s">
        <v>770</v>
      </c>
      <c r="N87" s="105"/>
    </row>
    <row r="88" spans="1:14" ht="12.75" customHeight="1" x14ac:dyDescent="0.45">
      <c r="A88" s="221" t="s">
        <v>777</v>
      </c>
      <c r="B88" s="391"/>
      <c r="C88" s="391">
        <v>12</v>
      </c>
      <c r="D88" s="392"/>
      <c r="E88" s="152"/>
      <c r="F88" s="152">
        <v>359</v>
      </c>
      <c r="G88" s="152">
        <v>475</v>
      </c>
      <c r="H88" s="152">
        <v>475</v>
      </c>
      <c r="I88" s="216">
        <v>475</v>
      </c>
      <c r="J88" s="118"/>
      <c r="K88" s="121" t="s">
        <v>71</v>
      </c>
      <c r="L88" s="118" t="s">
        <v>778</v>
      </c>
    </row>
    <row r="89" spans="1:14" ht="12.75" customHeight="1" x14ac:dyDescent="0.45">
      <c r="A89" s="221" t="s">
        <v>789</v>
      </c>
      <c r="B89" s="391"/>
      <c r="C89" s="391">
        <v>12</v>
      </c>
      <c r="D89" s="392"/>
      <c r="E89" s="152"/>
      <c r="F89" s="152">
        <v>-53</v>
      </c>
      <c r="G89" s="152">
        <v>-60</v>
      </c>
      <c r="H89" s="152">
        <v>-82</v>
      </c>
      <c r="I89" s="216">
        <v>-82</v>
      </c>
      <c r="J89" s="118"/>
      <c r="K89" s="121" t="s">
        <v>71</v>
      </c>
      <c r="L89" s="118" t="s">
        <v>790</v>
      </c>
    </row>
    <row r="90" spans="1:14" ht="12.75" customHeight="1" x14ac:dyDescent="0.45">
      <c r="A90" s="788" t="s">
        <v>807</v>
      </c>
      <c r="B90" s="616"/>
      <c r="C90" s="616">
        <v>12</v>
      </c>
      <c r="D90" s="716"/>
      <c r="E90" s="723"/>
      <c r="F90" s="723">
        <v>-16</v>
      </c>
      <c r="G90" s="723">
        <v>-16</v>
      </c>
      <c r="H90" s="723">
        <v>-16</v>
      </c>
      <c r="I90" s="472">
        <v>-16</v>
      </c>
      <c r="J90" s="789"/>
      <c r="K90" s="790"/>
      <c r="L90" s="789" t="s">
        <v>804</v>
      </c>
    </row>
    <row r="91" spans="1:14" ht="12.75" customHeight="1" x14ac:dyDescent="0.45">
      <c r="A91" s="221" t="s">
        <v>847</v>
      </c>
      <c r="B91" s="616"/>
      <c r="C91" s="391">
        <v>12</v>
      </c>
      <c r="D91" s="392"/>
      <c r="E91" s="152"/>
      <c r="F91" s="152">
        <v>0</v>
      </c>
      <c r="G91" s="152">
        <v>48</v>
      </c>
      <c r="H91" s="152">
        <v>52</v>
      </c>
      <c r="I91" s="216">
        <v>52</v>
      </c>
      <c r="J91" s="118"/>
      <c r="K91" s="121" t="s">
        <v>71</v>
      </c>
      <c r="L91" s="118" t="s">
        <v>848</v>
      </c>
    </row>
    <row r="92" spans="1:14" s="28" customFormat="1" ht="12.75" customHeight="1" x14ac:dyDescent="0.45">
      <c r="A92" s="221" t="s">
        <v>855</v>
      </c>
      <c r="B92" s="391"/>
      <c r="C92" s="391">
        <v>12</v>
      </c>
      <c r="D92" s="392"/>
      <c r="E92" s="152"/>
      <c r="F92" s="152">
        <f>-2860-1160</f>
        <v>-4020</v>
      </c>
      <c r="G92" s="152">
        <f>-2860-1160</f>
        <v>-4020</v>
      </c>
      <c r="H92" s="152">
        <f>-2860-1160</f>
        <v>-4020</v>
      </c>
      <c r="I92" s="216">
        <f>-2860-1160</f>
        <v>-4020</v>
      </c>
      <c r="J92" s="118"/>
      <c r="K92" s="121" t="s">
        <v>71</v>
      </c>
      <c r="L92" s="118" t="s">
        <v>963</v>
      </c>
      <c r="M92" s="28" t="s">
        <v>856</v>
      </c>
    </row>
    <row r="93" spans="1:14" ht="12.75" customHeight="1" x14ac:dyDescent="0.45">
      <c r="A93" s="221" t="s">
        <v>913</v>
      </c>
      <c r="B93" s="391"/>
      <c r="C93" s="391">
        <v>12</v>
      </c>
      <c r="D93" s="392"/>
      <c r="E93" s="152"/>
      <c r="F93" s="152">
        <v>1975</v>
      </c>
      <c r="G93" s="152">
        <v>1975</v>
      </c>
      <c r="H93" s="152">
        <v>1975</v>
      </c>
      <c r="I93" s="216">
        <v>1975</v>
      </c>
      <c r="J93" s="34"/>
      <c r="K93" s="121" t="s">
        <v>71</v>
      </c>
      <c r="L93" s="118" t="s">
        <v>911</v>
      </c>
    </row>
    <row r="94" spans="1:14" ht="12.75" customHeight="1" x14ac:dyDescent="0.45">
      <c r="A94" s="221" t="s">
        <v>964</v>
      </c>
      <c r="B94" s="391"/>
      <c r="C94" s="616">
        <v>12</v>
      </c>
      <c r="D94" s="392"/>
      <c r="E94" s="152"/>
      <c r="F94" s="152">
        <v>102</v>
      </c>
      <c r="G94" s="152">
        <v>51</v>
      </c>
      <c r="H94" s="152">
        <v>0</v>
      </c>
      <c r="I94" s="216">
        <v>0</v>
      </c>
      <c r="K94" s="121" t="s">
        <v>71</v>
      </c>
      <c r="L94" s="118" t="s">
        <v>963</v>
      </c>
    </row>
    <row r="95" spans="1:14" ht="12.75" customHeight="1" x14ac:dyDescent="0.45">
      <c r="A95" s="807"/>
      <c r="B95" s="391"/>
      <c r="C95" s="391"/>
      <c r="D95" s="392"/>
      <c r="E95" s="152"/>
      <c r="F95" s="152"/>
      <c r="G95" s="152"/>
      <c r="H95" s="152"/>
      <c r="I95" s="216"/>
      <c r="J95" s="118"/>
      <c r="K95" s="121"/>
      <c r="L95" s="118"/>
    </row>
    <row r="96" spans="1:14" ht="12.75" customHeight="1" x14ac:dyDescent="0.45">
      <c r="A96" s="393" t="s">
        <v>139</v>
      </c>
      <c r="B96" s="391"/>
      <c r="C96" s="391"/>
      <c r="D96" s="392"/>
      <c r="E96" s="152"/>
      <c r="F96" s="152"/>
      <c r="G96" s="462"/>
      <c r="H96" s="462"/>
      <c r="I96" s="216"/>
      <c r="J96" s="118"/>
      <c r="K96" s="121"/>
      <c r="L96" s="118"/>
    </row>
    <row r="97" spans="1:12" ht="12.75" customHeight="1" x14ac:dyDescent="0.45">
      <c r="A97" s="220" t="s">
        <v>386</v>
      </c>
      <c r="B97" s="391"/>
      <c r="C97" s="391">
        <v>13</v>
      </c>
      <c r="D97" s="392"/>
      <c r="E97" s="152"/>
      <c r="F97" s="152">
        <v>28</v>
      </c>
      <c r="G97" s="152">
        <v>28</v>
      </c>
      <c r="H97" s="152">
        <v>28</v>
      </c>
      <c r="I97" s="216">
        <v>28</v>
      </c>
      <c r="J97" s="175"/>
      <c r="K97" s="121" t="s">
        <v>71</v>
      </c>
      <c r="L97" s="118" t="s">
        <v>387</v>
      </c>
    </row>
    <row r="98" spans="1:12" ht="12.75" customHeight="1" x14ac:dyDescent="0.45">
      <c r="A98" s="221" t="s">
        <v>418</v>
      </c>
      <c r="B98" s="471" t="s">
        <v>419</v>
      </c>
      <c r="C98" s="391">
        <v>13</v>
      </c>
      <c r="D98" s="392"/>
      <c r="E98" s="152"/>
      <c r="F98" s="152"/>
      <c r="G98" s="152"/>
      <c r="H98" s="152">
        <v>58</v>
      </c>
      <c r="I98" s="216">
        <v>58</v>
      </c>
      <c r="J98" s="175"/>
      <c r="K98" s="121" t="s">
        <v>71</v>
      </c>
      <c r="L98" s="118" t="s">
        <v>432</v>
      </c>
    </row>
    <row r="99" spans="1:12" ht="12.75" customHeight="1" x14ac:dyDescent="0.45">
      <c r="A99" s="221" t="s">
        <v>424</v>
      </c>
      <c r="B99" s="471" t="s">
        <v>410</v>
      </c>
      <c r="C99" s="391">
        <v>13</v>
      </c>
      <c r="D99" s="392"/>
      <c r="E99" s="152"/>
      <c r="F99" s="152"/>
      <c r="G99" s="152"/>
      <c r="H99" s="152">
        <v>-174</v>
      </c>
      <c r="I99" s="216">
        <v>-174</v>
      </c>
      <c r="J99" s="175"/>
      <c r="K99" s="121" t="s">
        <v>71</v>
      </c>
      <c r="L99" s="118" t="s">
        <v>432</v>
      </c>
    </row>
    <row r="100" spans="1:12" ht="12.75" customHeight="1" x14ac:dyDescent="0.45">
      <c r="A100" s="221" t="s">
        <v>423</v>
      </c>
      <c r="B100" s="471" t="s">
        <v>431</v>
      </c>
      <c r="C100" s="391">
        <v>13</v>
      </c>
      <c r="D100" s="392"/>
      <c r="E100" s="152"/>
      <c r="F100" s="152"/>
      <c r="G100" s="152"/>
      <c r="H100" s="152"/>
      <c r="I100" s="216">
        <v>-55</v>
      </c>
      <c r="K100" s="121" t="s">
        <v>71</v>
      </c>
      <c r="L100" s="118" t="s">
        <v>432</v>
      </c>
    </row>
    <row r="101" spans="1:12" ht="12.75" customHeight="1" x14ac:dyDescent="0.45">
      <c r="A101" s="221" t="s">
        <v>479</v>
      </c>
      <c r="B101" s="471"/>
      <c r="C101" s="391">
        <v>13</v>
      </c>
      <c r="D101" s="392"/>
      <c r="E101" s="152"/>
      <c r="F101" s="152">
        <v>166</v>
      </c>
      <c r="G101" s="152">
        <v>166</v>
      </c>
      <c r="H101" s="152">
        <v>166</v>
      </c>
      <c r="I101" s="216">
        <v>166</v>
      </c>
      <c r="J101" s="595"/>
      <c r="K101" s="121" t="s">
        <v>71</v>
      </c>
      <c r="L101" s="118" t="s">
        <v>480</v>
      </c>
    </row>
    <row r="102" spans="1:12" ht="12.75" customHeight="1" x14ac:dyDescent="0.45">
      <c r="A102" s="221" t="s">
        <v>579</v>
      </c>
      <c r="B102" s="471"/>
      <c r="C102" s="391">
        <v>13</v>
      </c>
      <c r="D102" s="392"/>
      <c r="E102" s="152"/>
      <c r="F102" s="152">
        <v>-19</v>
      </c>
      <c r="G102" s="152">
        <v>-19</v>
      </c>
      <c r="H102" s="152">
        <v>-19</v>
      </c>
      <c r="I102" s="216">
        <v>-19</v>
      </c>
      <c r="J102" s="595"/>
      <c r="K102" s="121" t="s">
        <v>71</v>
      </c>
      <c r="L102" s="118" t="s">
        <v>580</v>
      </c>
    </row>
    <row r="103" spans="1:12" ht="12.75" customHeight="1" x14ac:dyDescent="0.45">
      <c r="A103" s="221" t="s">
        <v>615</v>
      </c>
      <c r="B103" s="471"/>
      <c r="C103" s="391">
        <v>13</v>
      </c>
      <c r="D103" s="392"/>
      <c r="E103" s="152"/>
      <c r="F103" s="152">
        <v>100</v>
      </c>
      <c r="G103" s="152">
        <v>100</v>
      </c>
      <c r="H103" s="152">
        <v>100</v>
      </c>
      <c r="I103" s="216">
        <v>100</v>
      </c>
      <c r="J103" s="595"/>
      <c r="K103" s="121" t="s">
        <v>71</v>
      </c>
      <c r="L103" s="118" t="s">
        <v>614</v>
      </c>
    </row>
    <row r="104" spans="1:12" ht="12.75" customHeight="1" x14ac:dyDescent="0.45">
      <c r="A104" s="221" t="s">
        <v>646</v>
      </c>
      <c r="B104" s="471"/>
      <c r="C104" s="391">
        <v>13</v>
      </c>
      <c r="D104" s="392"/>
      <c r="E104" s="152"/>
      <c r="F104" s="152"/>
      <c r="G104" s="152"/>
      <c r="H104" s="152"/>
      <c r="I104" s="216"/>
      <c r="J104" s="595"/>
      <c r="K104" s="121" t="s">
        <v>71</v>
      </c>
      <c r="L104" s="118" t="s">
        <v>774</v>
      </c>
    </row>
    <row r="105" spans="1:12" ht="12.75" customHeight="1" x14ac:dyDescent="0.45">
      <c r="A105" s="221" t="s">
        <v>647</v>
      </c>
      <c r="B105" s="391"/>
      <c r="C105" s="391">
        <v>13</v>
      </c>
      <c r="D105" s="392"/>
      <c r="E105" s="152"/>
      <c r="F105" s="152">
        <v>186</v>
      </c>
      <c r="G105" s="152">
        <v>221</v>
      </c>
      <c r="H105" s="152">
        <v>221</v>
      </c>
      <c r="I105" s="216">
        <v>115</v>
      </c>
      <c r="J105" s="595"/>
      <c r="K105" s="121" t="s">
        <v>71</v>
      </c>
      <c r="L105" s="118" t="s">
        <v>648</v>
      </c>
    </row>
    <row r="106" spans="1:12" ht="12.75" customHeight="1" x14ac:dyDescent="0.45">
      <c r="A106" s="221" t="s">
        <v>769</v>
      </c>
      <c r="B106" s="391"/>
      <c r="C106" s="391">
        <v>13</v>
      </c>
      <c r="D106" s="392"/>
      <c r="E106" s="152"/>
      <c r="F106" s="152">
        <v>-637</v>
      </c>
      <c r="G106" s="152">
        <v>-637</v>
      </c>
      <c r="H106" s="152">
        <v>-638</v>
      </c>
      <c r="I106" s="216">
        <v>-638</v>
      </c>
      <c r="J106" s="595"/>
      <c r="K106" s="121" t="s">
        <v>71</v>
      </c>
      <c r="L106" s="118" t="s">
        <v>770</v>
      </c>
    </row>
    <row r="107" spans="1:12" ht="12.75" customHeight="1" x14ac:dyDescent="0.45">
      <c r="A107" s="221" t="s">
        <v>777</v>
      </c>
      <c r="B107" s="391"/>
      <c r="C107" s="391">
        <v>13</v>
      </c>
      <c r="D107" s="392"/>
      <c r="E107" s="152"/>
      <c r="F107" s="152">
        <v>895</v>
      </c>
      <c r="G107" s="152">
        <v>1153</v>
      </c>
      <c r="H107" s="152">
        <v>1153</v>
      </c>
      <c r="I107" s="216">
        <v>1153</v>
      </c>
      <c r="J107" s="595"/>
      <c r="K107" s="121" t="s">
        <v>71</v>
      </c>
      <c r="L107" s="118" t="s">
        <v>778</v>
      </c>
    </row>
    <row r="108" spans="1:12" ht="12.75" customHeight="1" x14ac:dyDescent="0.45">
      <c r="A108" s="221" t="s">
        <v>789</v>
      </c>
      <c r="B108" s="391"/>
      <c r="C108" s="391">
        <v>13</v>
      </c>
      <c r="D108" s="392"/>
      <c r="E108" s="152"/>
      <c r="F108" s="152">
        <v>6</v>
      </c>
      <c r="G108" s="152">
        <v>9</v>
      </c>
      <c r="H108" s="152">
        <v>6</v>
      </c>
      <c r="I108" s="216">
        <v>7</v>
      </c>
      <c r="J108" s="595"/>
      <c r="K108" s="121" t="s">
        <v>71</v>
      </c>
      <c r="L108" s="118" t="s">
        <v>790</v>
      </c>
    </row>
    <row r="109" spans="1:12" ht="12.75" customHeight="1" x14ac:dyDescent="0.45">
      <c r="A109" s="221" t="s">
        <v>847</v>
      </c>
      <c r="B109" s="391"/>
      <c r="C109" s="391">
        <v>13</v>
      </c>
      <c r="D109" s="392"/>
      <c r="E109" s="152"/>
      <c r="F109" s="152">
        <v>-13</v>
      </c>
      <c r="G109" s="152">
        <v>-13</v>
      </c>
      <c r="H109" s="152">
        <v>-10</v>
      </c>
      <c r="I109" s="216">
        <v>-10</v>
      </c>
      <c r="J109" s="595"/>
      <c r="K109" s="121" t="s">
        <v>71</v>
      </c>
      <c r="L109" s="118" t="s">
        <v>940</v>
      </c>
    </row>
    <row r="110" spans="1:12" ht="12.75" customHeight="1" x14ac:dyDescent="0.45">
      <c r="A110" s="221" t="s">
        <v>964</v>
      </c>
      <c r="B110" s="391"/>
      <c r="C110" s="391">
        <v>13</v>
      </c>
      <c r="D110" s="392"/>
      <c r="E110" s="152"/>
      <c r="F110" s="152">
        <v>160</v>
      </c>
      <c r="G110" s="152">
        <v>80</v>
      </c>
      <c r="H110" s="152">
        <v>0</v>
      </c>
      <c r="I110" s="216">
        <v>0</v>
      </c>
      <c r="K110" s="121" t="s">
        <v>71</v>
      </c>
      <c r="L110" s="118" t="s">
        <v>963</v>
      </c>
    </row>
    <row r="111" spans="1:12" ht="12.75" customHeight="1" x14ac:dyDescent="0.45">
      <c r="A111" s="221"/>
      <c r="B111" s="391"/>
      <c r="C111" s="391"/>
      <c r="D111" s="392"/>
      <c r="E111" s="152"/>
      <c r="F111" s="152"/>
      <c r="G111" s="152"/>
      <c r="H111" s="152"/>
      <c r="I111" s="216"/>
      <c r="K111" s="30"/>
      <c r="L111" s="118"/>
    </row>
    <row r="112" spans="1:12" ht="12.75" customHeight="1" x14ac:dyDescent="0.45">
      <c r="A112" s="393" t="s">
        <v>157</v>
      </c>
      <c r="B112" s="391"/>
      <c r="C112" s="391"/>
      <c r="D112" s="392"/>
      <c r="E112" s="152"/>
      <c r="F112" s="152"/>
      <c r="G112" s="152"/>
      <c r="H112" s="152"/>
      <c r="I112" s="216"/>
      <c r="K112" s="30"/>
      <c r="L112" s="118"/>
    </row>
    <row r="113" spans="1:12" ht="12.75" customHeight="1" x14ac:dyDescent="0.45">
      <c r="A113" s="221"/>
      <c r="B113" s="391"/>
      <c r="C113" s="391"/>
      <c r="D113" s="392"/>
      <c r="E113" s="152"/>
      <c r="F113" s="152"/>
      <c r="G113" s="152"/>
      <c r="H113" s="152"/>
      <c r="I113" s="216"/>
      <c r="J113" s="175"/>
      <c r="K113" s="121"/>
      <c r="L113" s="118"/>
    </row>
    <row r="114" spans="1:12" ht="12.75" customHeight="1" x14ac:dyDescent="0.45">
      <c r="A114" s="221" t="s">
        <v>401</v>
      </c>
      <c r="B114" s="391"/>
      <c r="C114" s="391">
        <v>21</v>
      </c>
      <c r="D114" s="392"/>
      <c r="E114" s="152"/>
      <c r="F114" s="152">
        <v>-62</v>
      </c>
      <c r="G114" s="152">
        <v>-62</v>
      </c>
      <c r="H114" s="152">
        <v>-62</v>
      </c>
      <c r="I114" s="216">
        <v>-62</v>
      </c>
      <c r="J114" s="595"/>
      <c r="K114" s="121" t="s">
        <v>71</v>
      </c>
      <c r="L114" s="118" t="s">
        <v>399</v>
      </c>
    </row>
    <row r="115" spans="1:12" ht="12.75" customHeight="1" x14ac:dyDescent="0.45">
      <c r="A115" s="221" t="s">
        <v>479</v>
      </c>
      <c r="B115" s="391"/>
      <c r="C115" s="391">
        <v>21</v>
      </c>
      <c r="D115" s="392"/>
      <c r="E115" s="152"/>
      <c r="F115" s="152">
        <v>-15</v>
      </c>
      <c r="G115" s="152">
        <v>-15</v>
      </c>
      <c r="H115" s="152">
        <v>-15</v>
      </c>
      <c r="I115" s="216">
        <v>-15</v>
      </c>
      <c r="J115" s="595"/>
      <c r="K115" s="121" t="s">
        <v>71</v>
      </c>
      <c r="L115" s="118" t="s">
        <v>480</v>
      </c>
    </row>
    <row r="116" spans="1:12" ht="12.75" customHeight="1" x14ac:dyDescent="0.45">
      <c r="A116" s="221" t="s">
        <v>579</v>
      </c>
      <c r="B116" s="391"/>
      <c r="C116" s="391">
        <v>21</v>
      </c>
      <c r="D116" s="392"/>
      <c r="E116" s="152"/>
      <c r="F116" s="152">
        <v>0</v>
      </c>
      <c r="G116" s="152">
        <v>0</v>
      </c>
      <c r="H116" s="152">
        <v>0</v>
      </c>
      <c r="I116" s="216">
        <v>0</v>
      </c>
      <c r="J116" s="595"/>
      <c r="K116" s="121" t="s">
        <v>71</v>
      </c>
      <c r="L116" s="133" t="s">
        <v>580</v>
      </c>
    </row>
    <row r="117" spans="1:12" ht="12.75" customHeight="1" x14ac:dyDescent="0.45">
      <c r="A117" s="221" t="s">
        <v>646</v>
      </c>
      <c r="B117" s="391"/>
      <c r="C117" s="391">
        <v>21</v>
      </c>
      <c r="D117" s="392"/>
      <c r="E117" s="152"/>
      <c r="F117" s="152"/>
      <c r="G117" s="152"/>
      <c r="H117" s="152"/>
      <c r="I117" s="216"/>
      <c r="J117" s="595"/>
      <c r="K117" s="121" t="s">
        <v>71</v>
      </c>
      <c r="L117" s="118" t="s">
        <v>774</v>
      </c>
    </row>
    <row r="118" spans="1:12" ht="12.75" customHeight="1" x14ac:dyDescent="0.45">
      <c r="A118" s="221" t="s">
        <v>767</v>
      </c>
      <c r="B118" s="391"/>
      <c r="C118" s="391">
        <v>21</v>
      </c>
      <c r="D118" s="392"/>
      <c r="E118" s="152"/>
      <c r="F118" s="152">
        <v>-665</v>
      </c>
      <c r="G118" s="152">
        <v>-664</v>
      </c>
      <c r="H118" s="152">
        <v>-664</v>
      </c>
      <c r="I118" s="216">
        <v>-664</v>
      </c>
      <c r="J118" s="595"/>
      <c r="K118" s="121" t="s">
        <v>71</v>
      </c>
      <c r="L118" s="118" t="s">
        <v>931</v>
      </c>
    </row>
    <row r="119" spans="1:12" ht="12.75" customHeight="1" x14ac:dyDescent="0.45">
      <c r="A119" s="221" t="s">
        <v>769</v>
      </c>
      <c r="B119" s="391"/>
      <c r="C119" s="391">
        <v>21</v>
      </c>
      <c r="D119" s="392"/>
      <c r="E119" s="152"/>
      <c r="F119" s="152">
        <v>-4</v>
      </c>
      <c r="G119" s="147">
        <v>-4</v>
      </c>
      <c r="H119" s="147">
        <v>-4</v>
      </c>
      <c r="I119" s="216">
        <v>-4</v>
      </c>
      <c r="J119" s="34"/>
      <c r="K119" s="121" t="s">
        <v>71</v>
      </c>
      <c r="L119" s="118" t="s">
        <v>771</v>
      </c>
    </row>
    <row r="120" spans="1:12" ht="12.75" customHeight="1" x14ac:dyDescent="0.45">
      <c r="A120" s="221" t="s">
        <v>789</v>
      </c>
      <c r="B120" s="391"/>
      <c r="C120" s="391">
        <v>21</v>
      </c>
      <c r="D120" s="392"/>
      <c r="E120" s="152"/>
      <c r="F120" s="152">
        <v>1</v>
      </c>
      <c r="G120" s="147">
        <v>0</v>
      </c>
      <c r="H120" s="147">
        <v>1</v>
      </c>
      <c r="I120" s="216">
        <v>1</v>
      </c>
      <c r="J120" s="34"/>
      <c r="K120" s="121" t="s">
        <v>71</v>
      </c>
      <c r="L120" s="118" t="s">
        <v>790</v>
      </c>
    </row>
    <row r="121" spans="1:12" ht="28.5" x14ac:dyDescent="0.45">
      <c r="A121" s="220" t="s">
        <v>831</v>
      </c>
      <c r="B121" s="391"/>
      <c r="C121" s="391">
        <v>21</v>
      </c>
      <c r="D121" s="392"/>
      <c r="E121" s="152"/>
      <c r="F121" s="152">
        <v>-223</v>
      </c>
      <c r="G121" s="147">
        <v>-223</v>
      </c>
      <c r="H121" s="147">
        <v>-223</v>
      </c>
      <c r="I121" s="216">
        <v>-223</v>
      </c>
      <c r="J121" s="34"/>
      <c r="K121" s="121" t="s">
        <v>71</v>
      </c>
      <c r="L121" s="118" t="s">
        <v>931</v>
      </c>
    </row>
    <row r="122" spans="1:12" ht="12.75" customHeight="1" x14ac:dyDescent="0.45">
      <c r="A122" s="221" t="s">
        <v>833</v>
      </c>
      <c r="B122" s="391"/>
      <c r="C122" s="391">
        <v>21</v>
      </c>
      <c r="D122" s="392"/>
      <c r="E122" s="152"/>
      <c r="F122" s="152">
        <v>-4</v>
      </c>
      <c r="G122" s="147">
        <v>-4</v>
      </c>
      <c r="H122" s="147">
        <v>-4</v>
      </c>
      <c r="I122" s="216">
        <v>-4</v>
      </c>
      <c r="J122" s="34"/>
      <c r="K122" s="121" t="s">
        <v>71</v>
      </c>
      <c r="L122" s="118" t="s">
        <v>931</v>
      </c>
    </row>
    <row r="123" spans="1:12" ht="12.75" customHeight="1" x14ac:dyDescent="0.45">
      <c r="A123" s="221"/>
      <c r="B123" s="391"/>
      <c r="C123" s="391"/>
      <c r="D123" s="392"/>
      <c r="E123" s="152"/>
      <c r="F123" s="152"/>
      <c r="G123" s="147"/>
      <c r="H123" s="147"/>
      <c r="I123" s="216"/>
      <c r="J123" s="34"/>
      <c r="K123" s="121"/>
      <c r="L123" s="118"/>
    </row>
    <row r="124" spans="1:12" ht="12.75" customHeight="1" x14ac:dyDescent="0.45">
      <c r="A124" s="393" t="s">
        <v>135</v>
      </c>
      <c r="B124" s="391"/>
      <c r="C124" s="391"/>
      <c r="D124" s="392"/>
      <c r="E124" s="152"/>
      <c r="F124" s="152"/>
      <c r="G124" s="152"/>
      <c r="H124" s="152"/>
      <c r="I124" s="216"/>
      <c r="J124" s="34"/>
      <c r="K124" s="121"/>
      <c r="L124" s="118"/>
    </row>
    <row r="125" spans="1:12" ht="12.75" customHeight="1" x14ac:dyDescent="0.45">
      <c r="A125" s="221" t="s">
        <v>479</v>
      </c>
      <c r="B125" s="391"/>
      <c r="C125" s="391">
        <v>23</v>
      </c>
      <c r="D125" s="392"/>
      <c r="E125" s="152"/>
      <c r="F125" s="152">
        <v>-10</v>
      </c>
      <c r="G125" s="152">
        <v>-10</v>
      </c>
      <c r="H125" s="152">
        <v>-10</v>
      </c>
      <c r="I125" s="216">
        <v>-10</v>
      </c>
      <c r="J125" s="595"/>
      <c r="K125" s="121" t="s">
        <v>71</v>
      </c>
      <c r="L125" s="118" t="s">
        <v>480</v>
      </c>
    </row>
    <row r="126" spans="1:12" ht="12.75" customHeight="1" x14ac:dyDescent="0.45">
      <c r="A126" s="221" t="s">
        <v>579</v>
      </c>
      <c r="B126" s="391"/>
      <c r="C126" s="391">
        <v>23</v>
      </c>
      <c r="D126" s="392"/>
      <c r="E126" s="152"/>
      <c r="F126" s="152">
        <v>-4</v>
      </c>
      <c r="G126" s="152">
        <v>-4</v>
      </c>
      <c r="H126" s="152">
        <v>-4</v>
      </c>
      <c r="I126" s="216">
        <v>-4</v>
      </c>
      <c r="J126" s="595"/>
      <c r="K126" s="121" t="s">
        <v>581</v>
      </c>
      <c r="L126" s="118" t="s">
        <v>580</v>
      </c>
    </row>
    <row r="127" spans="1:12" ht="12.75" customHeight="1" x14ac:dyDescent="0.45">
      <c r="A127" s="221" t="s">
        <v>646</v>
      </c>
      <c r="B127" s="391"/>
      <c r="C127" s="391">
        <v>23</v>
      </c>
      <c r="D127" s="392"/>
      <c r="E127" s="152"/>
      <c r="F127" s="152"/>
      <c r="G127" s="152"/>
      <c r="H127" s="152"/>
      <c r="I127" s="216"/>
      <c r="J127" s="175"/>
      <c r="K127" s="121" t="s">
        <v>71</v>
      </c>
      <c r="L127" s="118" t="s">
        <v>774</v>
      </c>
    </row>
    <row r="128" spans="1:12" ht="12.75" customHeight="1" x14ac:dyDescent="0.45">
      <c r="A128" s="221" t="s">
        <v>769</v>
      </c>
      <c r="B128" s="391"/>
      <c r="C128" s="391">
        <v>23</v>
      </c>
      <c r="D128" s="392"/>
      <c r="E128" s="152"/>
      <c r="F128" s="152">
        <v>-139</v>
      </c>
      <c r="G128" s="152">
        <v>-139</v>
      </c>
      <c r="H128" s="152">
        <v>-139</v>
      </c>
      <c r="I128" s="216">
        <v>-139</v>
      </c>
      <c r="J128" s="175"/>
      <c r="K128" s="121" t="s">
        <v>71</v>
      </c>
      <c r="L128" s="118" t="s">
        <v>770</v>
      </c>
    </row>
    <row r="129" spans="1:12" ht="12.75" customHeight="1" x14ac:dyDescent="0.45">
      <c r="A129" s="221" t="s">
        <v>777</v>
      </c>
      <c r="B129" s="391"/>
      <c r="C129" s="391">
        <v>23</v>
      </c>
      <c r="D129" s="392"/>
      <c r="E129" s="152"/>
      <c r="F129" s="152">
        <v>155</v>
      </c>
      <c r="G129" s="152">
        <v>204</v>
      </c>
      <c r="H129" s="152">
        <v>204</v>
      </c>
      <c r="I129" s="216">
        <v>204</v>
      </c>
      <c r="J129" s="175"/>
      <c r="K129" s="121" t="s">
        <v>71</v>
      </c>
      <c r="L129" s="118" t="s">
        <v>778</v>
      </c>
    </row>
    <row r="130" spans="1:12" ht="12.75" customHeight="1" x14ac:dyDescent="0.45">
      <c r="A130" s="221" t="s">
        <v>789</v>
      </c>
      <c r="B130" s="391"/>
      <c r="C130" s="391">
        <v>23</v>
      </c>
      <c r="D130" s="392"/>
      <c r="E130" s="152"/>
      <c r="F130" s="152">
        <v>-1</v>
      </c>
      <c r="G130" s="152">
        <v>-3</v>
      </c>
      <c r="H130" s="152">
        <v>-3</v>
      </c>
      <c r="I130" s="216">
        <v>-3</v>
      </c>
      <c r="J130" s="175"/>
      <c r="K130" s="121" t="s">
        <v>71</v>
      </c>
      <c r="L130" s="118" t="s">
        <v>790</v>
      </c>
    </row>
    <row r="131" spans="1:12" ht="12.75" customHeight="1" x14ac:dyDescent="0.45">
      <c r="A131" s="221" t="s">
        <v>913</v>
      </c>
      <c r="B131" s="391"/>
      <c r="C131" s="391">
        <v>23</v>
      </c>
      <c r="D131" s="392"/>
      <c r="E131" s="152"/>
      <c r="F131" s="152">
        <v>-292</v>
      </c>
      <c r="G131" s="152">
        <v>-292</v>
      </c>
      <c r="H131" s="152">
        <v>-292</v>
      </c>
      <c r="I131" s="216">
        <v>-292</v>
      </c>
      <c r="J131" s="34"/>
      <c r="K131" s="121" t="s">
        <v>71</v>
      </c>
      <c r="L131" s="118" t="s">
        <v>911</v>
      </c>
    </row>
    <row r="132" spans="1:12" ht="12.75" customHeight="1" x14ac:dyDescent="0.45">
      <c r="A132" s="221"/>
      <c r="B132" s="391"/>
      <c r="C132" s="391"/>
      <c r="D132" s="392"/>
      <c r="E132" s="152"/>
      <c r="F132" s="152"/>
      <c r="G132" s="152"/>
      <c r="H132" s="152"/>
      <c r="I132" s="216"/>
      <c r="K132" s="121"/>
      <c r="L132" s="118"/>
    </row>
    <row r="133" spans="1:12" ht="12.75" customHeight="1" x14ac:dyDescent="0.45">
      <c r="A133" s="221"/>
      <c r="B133" s="391"/>
      <c r="C133" s="391"/>
      <c r="D133" s="392"/>
      <c r="E133" s="152"/>
      <c r="F133" s="152"/>
      <c r="G133" s="152"/>
      <c r="H133" s="152"/>
      <c r="I133" s="216"/>
      <c r="K133" s="121"/>
      <c r="L133" s="118"/>
    </row>
    <row r="134" spans="1:12" ht="12.75" customHeight="1" x14ac:dyDescent="0.45">
      <c r="A134" s="393" t="s">
        <v>128</v>
      </c>
      <c r="B134" s="391"/>
      <c r="C134" s="391"/>
      <c r="D134" s="392"/>
      <c r="E134" s="152"/>
      <c r="F134" s="152"/>
      <c r="G134" s="152"/>
      <c r="H134" s="152"/>
      <c r="I134" s="216"/>
      <c r="J134" s="118"/>
      <c r="K134" s="121"/>
      <c r="L134" s="118"/>
    </row>
    <row r="135" spans="1:12" s="28" customFormat="1" ht="12.75" customHeight="1" x14ac:dyDescent="0.45">
      <c r="A135" s="221" t="s">
        <v>479</v>
      </c>
      <c r="B135" s="391"/>
      <c r="C135" s="391">
        <v>27</v>
      </c>
      <c r="D135" s="392"/>
      <c r="E135" s="152"/>
      <c r="F135" s="152">
        <v>-13</v>
      </c>
      <c r="G135" s="152">
        <v>-13</v>
      </c>
      <c r="H135" s="152">
        <v>-13</v>
      </c>
      <c r="I135" s="216">
        <v>-13</v>
      </c>
      <c r="J135" s="595"/>
      <c r="K135" s="121" t="s">
        <v>71</v>
      </c>
      <c r="L135" s="118" t="s">
        <v>480</v>
      </c>
    </row>
    <row r="136" spans="1:12" ht="12.75" customHeight="1" x14ac:dyDescent="0.45">
      <c r="A136" s="221" t="s">
        <v>579</v>
      </c>
      <c r="B136" s="391"/>
      <c r="C136" s="391">
        <v>27</v>
      </c>
      <c r="D136" s="392"/>
      <c r="E136" s="152"/>
      <c r="F136" s="152">
        <v>-3</v>
      </c>
      <c r="G136" s="152">
        <v>-3</v>
      </c>
      <c r="H136" s="152">
        <v>-3</v>
      </c>
      <c r="I136" s="216">
        <v>-3</v>
      </c>
      <c r="J136" s="595"/>
      <c r="K136" s="121" t="s">
        <v>71</v>
      </c>
      <c r="L136" s="118" t="s">
        <v>580</v>
      </c>
    </row>
    <row r="137" spans="1:12" ht="12.75" customHeight="1" x14ac:dyDescent="0.45">
      <c r="A137" s="221" t="s">
        <v>646</v>
      </c>
      <c r="B137" s="391"/>
      <c r="C137" s="391">
        <v>27</v>
      </c>
      <c r="D137" s="392"/>
      <c r="E137" s="152"/>
      <c r="F137" s="152"/>
      <c r="G137" s="152"/>
      <c r="H137" s="152"/>
      <c r="I137" s="216"/>
      <c r="J137" s="595"/>
      <c r="K137" s="121" t="s">
        <v>71</v>
      </c>
      <c r="L137" s="118" t="s">
        <v>774</v>
      </c>
    </row>
    <row r="138" spans="1:12" ht="12.75" customHeight="1" x14ac:dyDescent="0.45">
      <c r="A138" s="221" t="s">
        <v>769</v>
      </c>
      <c r="B138" s="391"/>
      <c r="C138" s="391">
        <v>27</v>
      </c>
      <c r="D138" s="392"/>
      <c r="E138" s="152"/>
      <c r="F138" s="152">
        <v>-85</v>
      </c>
      <c r="G138" s="152">
        <v>-85</v>
      </c>
      <c r="H138" s="152">
        <v>-85</v>
      </c>
      <c r="I138" s="216">
        <v>-85</v>
      </c>
      <c r="J138" s="595"/>
      <c r="K138" s="121" t="s">
        <v>71</v>
      </c>
      <c r="L138" s="118" t="s">
        <v>772</v>
      </c>
    </row>
    <row r="139" spans="1:12" ht="12.75" customHeight="1" x14ac:dyDescent="0.45">
      <c r="A139" s="221" t="s">
        <v>777</v>
      </c>
      <c r="B139" s="391"/>
      <c r="C139" s="391">
        <v>27</v>
      </c>
      <c r="D139" s="392"/>
      <c r="E139" s="152"/>
      <c r="F139" s="152">
        <v>139</v>
      </c>
      <c r="G139" s="152">
        <v>185</v>
      </c>
      <c r="H139" s="152">
        <v>186</v>
      </c>
      <c r="I139" s="216">
        <v>187</v>
      </c>
      <c r="J139" s="175"/>
      <c r="K139" s="121" t="s">
        <v>71</v>
      </c>
      <c r="L139" s="118" t="s">
        <v>778</v>
      </c>
    </row>
    <row r="140" spans="1:12" ht="12.75" customHeight="1" x14ac:dyDescent="0.45">
      <c r="A140" s="221" t="s">
        <v>789</v>
      </c>
      <c r="B140" s="391"/>
      <c r="C140" s="391">
        <v>27</v>
      </c>
      <c r="D140" s="392"/>
      <c r="E140" s="152"/>
      <c r="F140" s="152">
        <v>-2</v>
      </c>
      <c r="G140" s="152">
        <v>-2</v>
      </c>
      <c r="H140" s="152">
        <v>-3</v>
      </c>
      <c r="I140" s="216">
        <v>-3</v>
      </c>
      <c r="J140" s="175"/>
      <c r="K140" s="121" t="s">
        <v>71</v>
      </c>
      <c r="L140" s="118" t="s">
        <v>790</v>
      </c>
    </row>
    <row r="141" spans="1:12" ht="12.75" customHeight="1" x14ac:dyDescent="0.45">
      <c r="A141" s="221" t="s">
        <v>847</v>
      </c>
      <c r="B141" s="391"/>
      <c r="C141" s="391">
        <v>27</v>
      </c>
      <c r="D141" s="392"/>
      <c r="E141" s="152"/>
      <c r="F141" s="152">
        <v>-30</v>
      </c>
      <c r="G141" s="152">
        <v>-75</v>
      </c>
      <c r="H141" s="152">
        <v>-74</v>
      </c>
      <c r="I141" s="216">
        <v>-74</v>
      </c>
      <c r="J141" s="175"/>
      <c r="K141" s="121" t="s">
        <v>71</v>
      </c>
      <c r="L141" s="118" t="s">
        <v>848</v>
      </c>
    </row>
    <row r="142" spans="1:12" ht="12.75" customHeight="1" x14ac:dyDescent="0.45">
      <c r="A142" s="221" t="s">
        <v>912</v>
      </c>
      <c r="B142" s="391"/>
      <c r="C142" s="391">
        <v>27</v>
      </c>
      <c r="D142" s="392"/>
      <c r="E142" s="152"/>
      <c r="F142" s="152">
        <v>1382</v>
      </c>
      <c r="G142" s="152">
        <v>1382</v>
      </c>
      <c r="H142" s="152">
        <v>1382</v>
      </c>
      <c r="I142" s="216">
        <v>1382</v>
      </c>
      <c r="J142" s="175"/>
      <c r="K142" s="121" t="s">
        <v>71</v>
      </c>
      <c r="L142" s="118" t="s">
        <v>911</v>
      </c>
    </row>
    <row r="143" spans="1:12" ht="12.75" customHeight="1" x14ac:dyDescent="0.45">
      <c r="A143" s="221"/>
      <c r="B143" s="391"/>
      <c r="C143" s="391"/>
      <c r="D143" s="392"/>
      <c r="E143" s="152"/>
      <c r="F143" s="152"/>
      <c r="G143" s="152"/>
      <c r="H143" s="152"/>
      <c r="I143" s="216"/>
      <c r="J143" s="175"/>
      <c r="K143" s="121"/>
      <c r="L143" s="118"/>
    </row>
    <row r="144" spans="1:12" ht="12.75" customHeight="1" x14ac:dyDescent="0.45">
      <c r="A144" s="221"/>
      <c r="B144" s="391"/>
      <c r="C144" s="391"/>
      <c r="D144" s="392"/>
      <c r="E144" s="152"/>
      <c r="F144" s="147"/>
      <c r="G144" s="147"/>
      <c r="H144" s="147"/>
      <c r="I144" s="463"/>
      <c r="J144" s="118"/>
      <c r="K144" s="30"/>
      <c r="L144" s="118"/>
    </row>
    <row r="145" spans="1:13" s="28" customFormat="1" ht="12.75" customHeight="1" x14ac:dyDescent="0.45">
      <c r="A145" s="393" t="s">
        <v>58</v>
      </c>
      <c r="B145" s="391"/>
      <c r="C145" s="391"/>
      <c r="D145" s="392"/>
      <c r="E145" s="152"/>
      <c r="F145" s="152"/>
      <c r="G145" s="152"/>
      <c r="H145" s="152"/>
      <c r="I145" s="216"/>
      <c r="J145" s="118"/>
      <c r="K145" s="121"/>
      <c r="L145" s="118"/>
    </row>
    <row r="146" spans="1:13" ht="12.75" customHeight="1" x14ac:dyDescent="0.45">
      <c r="A146" s="221" t="s">
        <v>401</v>
      </c>
      <c r="B146" s="391"/>
      <c r="C146" s="391">
        <v>28</v>
      </c>
      <c r="D146" s="392"/>
      <c r="E146" s="152"/>
      <c r="F146" s="152">
        <v>-128</v>
      </c>
      <c r="G146" s="152">
        <v>-128</v>
      </c>
      <c r="H146" s="152">
        <v>-128</v>
      </c>
      <c r="I146" s="216">
        <v>-128</v>
      </c>
      <c r="J146" s="595"/>
      <c r="K146" s="121" t="s">
        <v>71</v>
      </c>
      <c r="L146" s="118" t="s">
        <v>400</v>
      </c>
    </row>
    <row r="147" spans="1:13" ht="12.75" customHeight="1" x14ac:dyDescent="0.45">
      <c r="A147" s="221" t="s">
        <v>479</v>
      </c>
      <c r="B147" s="391"/>
      <c r="C147" s="391">
        <v>28</v>
      </c>
      <c r="D147" s="392"/>
      <c r="E147" s="152"/>
      <c r="F147" s="152">
        <v>-7</v>
      </c>
      <c r="G147" s="152">
        <v>-7</v>
      </c>
      <c r="H147" s="152">
        <v>-7</v>
      </c>
      <c r="I147" s="216">
        <v>-7</v>
      </c>
      <c r="J147" s="595"/>
      <c r="K147" s="121" t="s">
        <v>71</v>
      </c>
      <c r="L147" s="118" t="s">
        <v>480</v>
      </c>
    </row>
    <row r="148" spans="1:13" ht="12.75" customHeight="1" x14ac:dyDescent="0.45">
      <c r="A148" s="221" t="s">
        <v>579</v>
      </c>
      <c r="B148" s="391"/>
      <c r="C148" s="391">
        <v>28</v>
      </c>
      <c r="D148" s="392"/>
      <c r="E148" s="152"/>
      <c r="F148" s="152">
        <v>0</v>
      </c>
      <c r="G148" s="152">
        <v>0</v>
      </c>
      <c r="H148" s="152">
        <v>0</v>
      </c>
      <c r="I148" s="216">
        <v>0</v>
      </c>
      <c r="J148" s="175"/>
      <c r="K148" s="121" t="s">
        <v>71</v>
      </c>
      <c r="L148" s="118" t="s">
        <v>580</v>
      </c>
    </row>
    <row r="149" spans="1:13" ht="12.75" customHeight="1" x14ac:dyDescent="0.45">
      <c r="A149" s="221" t="s">
        <v>646</v>
      </c>
      <c r="B149" s="391"/>
      <c r="C149" s="391">
        <v>28</v>
      </c>
      <c r="D149" s="392"/>
      <c r="E149" s="152"/>
      <c r="F149" s="152"/>
      <c r="G149" s="152"/>
      <c r="H149" s="152"/>
      <c r="I149" s="216"/>
      <c r="J149" s="175"/>
      <c r="K149" s="121" t="s">
        <v>71</v>
      </c>
      <c r="L149" s="118" t="s">
        <v>774</v>
      </c>
    </row>
    <row r="150" spans="1:13" ht="12.75" customHeight="1" x14ac:dyDescent="0.45">
      <c r="A150" s="221" t="s">
        <v>769</v>
      </c>
      <c r="B150" s="391"/>
      <c r="C150" s="391">
        <v>28</v>
      </c>
      <c r="D150" s="392"/>
      <c r="E150" s="152"/>
      <c r="F150" s="152">
        <v>-6</v>
      </c>
      <c r="G150" s="152">
        <v>-6</v>
      </c>
      <c r="H150" s="152">
        <v>-6</v>
      </c>
      <c r="I150" s="216">
        <v>-6</v>
      </c>
      <c r="J150" s="175"/>
      <c r="K150" s="121" t="s">
        <v>71</v>
      </c>
      <c r="L150" s="118" t="s">
        <v>770</v>
      </c>
    </row>
    <row r="151" spans="1:13" ht="12.75" customHeight="1" x14ac:dyDescent="0.45">
      <c r="A151" s="221" t="s">
        <v>789</v>
      </c>
      <c r="B151" s="391"/>
      <c r="C151" s="391">
        <v>28</v>
      </c>
      <c r="D151" s="392"/>
      <c r="E151" s="152"/>
      <c r="F151" s="152">
        <v>-1</v>
      </c>
      <c r="G151" s="152">
        <v>-1</v>
      </c>
      <c r="H151" s="152">
        <v>-1</v>
      </c>
      <c r="I151" s="216">
        <v>-1</v>
      </c>
      <c r="J151" s="175"/>
      <c r="K151" s="121" t="s">
        <v>71</v>
      </c>
      <c r="L151" s="118" t="s">
        <v>790</v>
      </c>
    </row>
    <row r="152" spans="1:13" ht="12.75" customHeight="1" x14ac:dyDescent="0.45">
      <c r="A152" s="221"/>
      <c r="B152" s="391"/>
      <c r="C152" s="391"/>
      <c r="D152" s="392"/>
      <c r="E152" s="152"/>
      <c r="F152" s="152"/>
      <c r="G152" s="152"/>
      <c r="H152" s="152"/>
      <c r="I152" s="216"/>
      <c r="J152" s="595"/>
      <c r="K152" s="121"/>
      <c r="L152" s="118"/>
    </row>
    <row r="153" spans="1:13" ht="12.75" customHeight="1" x14ac:dyDescent="0.45">
      <c r="A153" s="393" t="s">
        <v>437</v>
      </c>
      <c r="B153" s="391"/>
      <c r="C153" s="391"/>
      <c r="D153" s="391"/>
      <c r="E153" s="152"/>
      <c r="F153" s="152"/>
      <c r="G153" s="152"/>
      <c r="H153" s="152"/>
      <c r="I153" s="216"/>
      <c r="J153" s="118"/>
      <c r="K153" s="121"/>
      <c r="L153" s="118"/>
    </row>
    <row r="154" spans="1:13" ht="12.6" customHeight="1" x14ac:dyDescent="0.45">
      <c r="A154" s="221" t="s">
        <v>479</v>
      </c>
      <c r="B154" s="391"/>
      <c r="C154" s="391">
        <v>29</v>
      </c>
      <c r="D154" s="392"/>
      <c r="E154" s="152"/>
      <c r="F154" s="152">
        <v>0</v>
      </c>
      <c r="G154" s="152">
        <v>0</v>
      </c>
      <c r="H154" s="152">
        <v>0</v>
      </c>
      <c r="I154" s="216">
        <v>0</v>
      </c>
      <c r="J154" s="595"/>
      <c r="K154" s="121" t="s">
        <v>71</v>
      </c>
      <c r="L154" s="118" t="s">
        <v>480</v>
      </c>
      <c r="M154" s="28"/>
    </row>
    <row r="155" spans="1:13" ht="12.6" customHeight="1" x14ac:dyDescent="0.45">
      <c r="A155" s="221"/>
      <c r="B155" s="391"/>
      <c r="C155" s="391"/>
      <c r="D155" s="392"/>
      <c r="E155" s="152"/>
      <c r="F155" s="152"/>
      <c r="G155" s="152"/>
      <c r="H155" s="152"/>
      <c r="I155" s="216"/>
      <c r="J155" s="595"/>
      <c r="K155" s="121"/>
      <c r="L155" s="118"/>
      <c r="M155" s="28"/>
    </row>
    <row r="156" spans="1:13" ht="12.75" customHeight="1" x14ac:dyDescent="0.45">
      <c r="A156" s="221"/>
      <c r="B156" s="391"/>
      <c r="C156" s="391"/>
      <c r="D156" s="392"/>
      <c r="E156" s="152"/>
      <c r="F156" s="460"/>
      <c r="G156" s="460"/>
      <c r="H156" s="460"/>
      <c r="I156" s="216"/>
      <c r="J156" s="118"/>
      <c r="K156" s="121"/>
      <c r="L156" s="118"/>
    </row>
    <row r="157" spans="1:13" ht="12.75" customHeight="1" x14ac:dyDescent="0.45">
      <c r="A157" s="393" t="s">
        <v>292</v>
      </c>
      <c r="B157" s="391"/>
      <c r="C157" s="391"/>
      <c r="D157" s="392"/>
      <c r="E157" s="152"/>
      <c r="F157" s="460"/>
      <c r="G157" s="460"/>
      <c r="H157" s="460"/>
      <c r="I157" s="216"/>
      <c r="J157" s="118"/>
      <c r="K157" s="121"/>
      <c r="L157" s="118"/>
    </row>
    <row r="158" spans="1:13" ht="14.25" customHeight="1" x14ac:dyDescent="0.45">
      <c r="A158" s="220" t="s">
        <v>376</v>
      </c>
      <c r="B158" s="391"/>
      <c r="C158" s="391">
        <v>31</v>
      </c>
      <c r="D158" s="392"/>
      <c r="E158" s="152"/>
      <c r="F158" s="152">
        <v>0</v>
      </c>
      <c r="G158" s="152">
        <v>0</v>
      </c>
      <c r="H158" s="152">
        <v>-2285</v>
      </c>
      <c r="I158" s="463">
        <v>0</v>
      </c>
      <c r="J158" s="595"/>
      <c r="K158" s="121" t="s">
        <v>71</v>
      </c>
      <c r="L158" s="118" t="s">
        <v>375</v>
      </c>
    </row>
    <row r="159" spans="1:13" ht="12.75" customHeight="1" x14ac:dyDescent="0.45">
      <c r="A159" s="221" t="s">
        <v>479</v>
      </c>
      <c r="B159" s="391"/>
      <c r="C159" s="391">
        <v>31</v>
      </c>
      <c r="D159" s="392"/>
      <c r="E159" s="152"/>
      <c r="F159" s="152">
        <v>153</v>
      </c>
      <c r="G159" s="152">
        <v>152</v>
      </c>
      <c r="H159" s="152">
        <v>138</v>
      </c>
      <c r="I159" s="216">
        <v>145</v>
      </c>
      <c r="J159" s="595"/>
      <c r="K159" s="121" t="s">
        <v>71</v>
      </c>
      <c r="L159" s="118" t="s">
        <v>480</v>
      </c>
    </row>
    <row r="160" spans="1:13" s="321" customFormat="1" ht="12.75" customHeight="1" x14ac:dyDescent="0.45">
      <c r="A160" s="221" t="s">
        <v>579</v>
      </c>
      <c r="B160" s="391"/>
      <c r="C160" s="391">
        <v>31</v>
      </c>
      <c r="D160" s="392"/>
      <c r="E160" s="152"/>
      <c r="F160" s="152">
        <v>-13</v>
      </c>
      <c r="G160" s="152">
        <v>-13</v>
      </c>
      <c r="H160" s="152">
        <v>-13</v>
      </c>
      <c r="I160" s="216">
        <v>-13</v>
      </c>
      <c r="J160" s="595"/>
      <c r="K160" s="121" t="s">
        <v>71</v>
      </c>
      <c r="L160" s="118" t="s">
        <v>580</v>
      </c>
    </row>
    <row r="161" spans="1:16" ht="12.75" customHeight="1" x14ac:dyDescent="0.45">
      <c r="A161" s="221" t="s">
        <v>646</v>
      </c>
      <c r="B161" s="391"/>
      <c r="C161" s="391">
        <v>31</v>
      </c>
      <c r="D161" s="392"/>
      <c r="E161" s="152"/>
      <c r="F161" s="152"/>
      <c r="G161" s="152"/>
      <c r="H161" s="152"/>
      <c r="I161" s="216"/>
      <c r="J161" s="118"/>
      <c r="K161" s="121" t="s">
        <v>71</v>
      </c>
      <c r="L161" s="118" t="s">
        <v>774</v>
      </c>
    </row>
    <row r="162" spans="1:16" ht="12.75" customHeight="1" x14ac:dyDescent="0.45">
      <c r="A162" s="221" t="s">
        <v>769</v>
      </c>
      <c r="B162" s="391"/>
      <c r="C162" s="391">
        <v>31</v>
      </c>
      <c r="D162" s="392"/>
      <c r="E162" s="152"/>
      <c r="F162" s="152">
        <v>-431</v>
      </c>
      <c r="G162" s="152">
        <v>-432</v>
      </c>
      <c r="H162" s="152">
        <v>-437</v>
      </c>
      <c r="I162" s="216">
        <v>-435</v>
      </c>
      <c r="J162" s="118"/>
      <c r="K162" s="121" t="s">
        <v>71</v>
      </c>
      <c r="L162" s="118" t="s">
        <v>770</v>
      </c>
    </row>
    <row r="163" spans="1:16" ht="14.25" x14ac:dyDescent="0.45">
      <c r="A163" s="221" t="s">
        <v>777</v>
      </c>
      <c r="B163" s="391"/>
      <c r="C163" s="391">
        <v>31</v>
      </c>
      <c r="D163" s="392"/>
      <c r="E163" s="152"/>
      <c r="F163" s="152">
        <v>908</v>
      </c>
      <c r="G163" s="152">
        <v>1206</v>
      </c>
      <c r="H163" s="152">
        <v>1206</v>
      </c>
      <c r="I163" s="216">
        <v>1206</v>
      </c>
      <c r="J163" s="118"/>
      <c r="K163" s="121" t="s">
        <v>71</v>
      </c>
      <c r="L163" s="179" t="s">
        <v>778</v>
      </c>
    </row>
    <row r="164" spans="1:16" ht="14.25" x14ac:dyDescent="0.45">
      <c r="A164" s="221" t="s">
        <v>789</v>
      </c>
      <c r="B164" s="391"/>
      <c r="C164" s="391">
        <v>31</v>
      </c>
      <c r="D164" s="392"/>
      <c r="E164" s="152"/>
      <c r="F164" s="152">
        <v>-3</v>
      </c>
      <c r="G164" s="152">
        <v>-5</v>
      </c>
      <c r="H164" s="152">
        <v>-3</v>
      </c>
      <c r="I164" s="216">
        <v>-3</v>
      </c>
      <c r="J164" s="118"/>
      <c r="K164" s="121" t="s">
        <v>71</v>
      </c>
      <c r="L164" s="179" t="s">
        <v>790</v>
      </c>
    </row>
    <row r="165" spans="1:16" ht="14.25" x14ac:dyDescent="0.45">
      <c r="A165" s="221" t="s">
        <v>869</v>
      </c>
      <c r="B165" s="391"/>
      <c r="C165" s="391">
        <v>31</v>
      </c>
      <c r="D165" s="392"/>
      <c r="E165" s="152"/>
      <c r="F165" s="152">
        <v>-2164</v>
      </c>
      <c r="G165" s="152">
        <v>-711</v>
      </c>
      <c r="H165" s="152">
        <v>-606</v>
      </c>
      <c r="I165" s="216">
        <v>-474</v>
      </c>
      <c r="J165" s="118"/>
      <c r="K165" s="121" t="s">
        <v>71</v>
      </c>
      <c r="L165" s="179" t="s">
        <v>941</v>
      </c>
      <c r="M165" t="s">
        <v>938</v>
      </c>
    </row>
    <row r="166" spans="1:16" ht="14.1" customHeight="1" x14ac:dyDescent="0.45">
      <c r="A166" s="221"/>
      <c r="B166" s="391"/>
      <c r="C166" s="391"/>
      <c r="D166" s="392"/>
      <c r="E166" s="152"/>
      <c r="F166" s="152"/>
      <c r="G166" s="152"/>
      <c r="H166" s="152"/>
      <c r="I166" s="463"/>
      <c r="J166" s="118"/>
      <c r="K166" s="121"/>
      <c r="L166" s="118"/>
    </row>
    <row r="167" spans="1:16" ht="15.75" customHeight="1" x14ac:dyDescent="0.45">
      <c r="A167" s="393" t="s">
        <v>294</v>
      </c>
      <c r="B167" s="391"/>
      <c r="C167" s="391"/>
      <c r="D167" s="392"/>
      <c r="E167" s="152"/>
      <c r="F167" s="460"/>
      <c r="G167" s="460"/>
      <c r="H167" s="460"/>
      <c r="I167" s="216"/>
      <c r="J167" s="118"/>
      <c r="K167" s="121"/>
      <c r="L167" s="179"/>
      <c r="P167" t="s">
        <v>155</v>
      </c>
    </row>
    <row r="168" spans="1:16" ht="14.25" x14ac:dyDescent="0.45">
      <c r="A168" s="791" t="s">
        <v>377</v>
      </c>
      <c r="B168" s="391"/>
      <c r="C168" s="391">
        <v>32</v>
      </c>
      <c r="D168" s="392"/>
      <c r="E168" s="152"/>
      <c r="F168" s="152">
        <v>15</v>
      </c>
      <c r="G168" s="152">
        <v>15</v>
      </c>
      <c r="H168" s="152">
        <v>15</v>
      </c>
      <c r="I168" s="216">
        <v>15</v>
      </c>
      <c r="J168" s="118"/>
      <c r="K168" s="121" t="s">
        <v>71</v>
      </c>
      <c r="L168" s="179" t="s">
        <v>375</v>
      </c>
    </row>
    <row r="169" spans="1:16" ht="14.85" customHeight="1" x14ac:dyDescent="0.45">
      <c r="A169" s="221" t="s">
        <v>479</v>
      </c>
      <c r="B169" s="391"/>
      <c r="C169" s="391">
        <v>32</v>
      </c>
      <c r="D169" s="392"/>
      <c r="E169" s="152"/>
      <c r="F169" s="152">
        <v>503</v>
      </c>
      <c r="G169" s="152">
        <v>486</v>
      </c>
      <c r="H169" s="152">
        <v>486</v>
      </c>
      <c r="I169" s="216">
        <v>486</v>
      </c>
      <c r="J169" s="118"/>
      <c r="K169" s="121" t="s">
        <v>71</v>
      </c>
      <c r="L169" s="118" t="s">
        <v>480</v>
      </c>
    </row>
    <row r="170" spans="1:16" ht="12.75" customHeight="1" x14ac:dyDescent="0.45">
      <c r="A170" s="221" t="s">
        <v>579</v>
      </c>
      <c r="B170" s="391"/>
      <c r="C170" s="391">
        <v>32</v>
      </c>
      <c r="D170" s="392"/>
      <c r="E170" s="152"/>
      <c r="F170" s="152">
        <v>-81</v>
      </c>
      <c r="G170" s="152">
        <v>-81</v>
      </c>
      <c r="H170" s="152">
        <v>-81</v>
      </c>
      <c r="I170" s="216">
        <v>-81</v>
      </c>
      <c r="J170" s="595"/>
      <c r="K170" s="121" t="s">
        <v>71</v>
      </c>
      <c r="L170" s="118" t="s">
        <v>580</v>
      </c>
    </row>
    <row r="171" spans="1:16" ht="12.75" customHeight="1" x14ac:dyDescent="0.45">
      <c r="A171" s="221" t="s">
        <v>646</v>
      </c>
      <c r="B171" s="391"/>
      <c r="C171" s="391">
        <v>32</v>
      </c>
      <c r="D171" s="392"/>
      <c r="E171" s="152"/>
      <c r="F171" s="152"/>
      <c r="G171" s="152"/>
      <c r="H171" s="152"/>
      <c r="I171" s="216"/>
      <c r="J171" s="595"/>
      <c r="K171" s="121" t="s">
        <v>71</v>
      </c>
      <c r="L171" s="118" t="s">
        <v>774</v>
      </c>
    </row>
    <row r="172" spans="1:16" ht="12.75" customHeight="1" x14ac:dyDescent="0.45">
      <c r="A172" s="221" t="s">
        <v>769</v>
      </c>
      <c r="B172" s="391"/>
      <c r="C172" s="391">
        <v>32</v>
      </c>
      <c r="D172" s="392"/>
      <c r="E172" s="152"/>
      <c r="F172" s="152">
        <v>-2671</v>
      </c>
      <c r="G172" s="152">
        <v>-2682</v>
      </c>
      <c r="H172" s="152">
        <v>-2682</v>
      </c>
      <c r="I172" s="216">
        <v>-2682</v>
      </c>
      <c r="J172" s="118"/>
      <c r="K172" s="121" t="s">
        <v>71</v>
      </c>
      <c r="L172" s="118" t="s">
        <v>770</v>
      </c>
    </row>
    <row r="173" spans="1:16" ht="12.75" customHeight="1" x14ac:dyDescent="0.45">
      <c r="A173" s="221" t="s">
        <v>777</v>
      </c>
      <c r="B173" s="391"/>
      <c r="C173" s="391">
        <v>32</v>
      </c>
      <c r="D173" s="392"/>
      <c r="E173" s="152"/>
      <c r="F173" s="152">
        <v>3744</v>
      </c>
      <c r="G173" s="152">
        <v>4812</v>
      </c>
      <c r="H173" s="152">
        <v>4812</v>
      </c>
      <c r="I173" s="216">
        <v>4812</v>
      </c>
      <c r="J173" s="118"/>
      <c r="K173" s="121" t="s">
        <v>71</v>
      </c>
      <c r="L173" s="118" t="s">
        <v>778</v>
      </c>
    </row>
    <row r="174" spans="1:16" ht="12.75" customHeight="1" x14ac:dyDescent="0.45">
      <c r="A174" s="221" t="s">
        <v>789</v>
      </c>
      <c r="B174" s="391"/>
      <c r="C174" s="391">
        <v>32</v>
      </c>
      <c r="D174" s="392"/>
      <c r="E174" s="152"/>
      <c r="F174" s="152">
        <v>13</v>
      </c>
      <c r="G174" s="152">
        <f>4-9</f>
        <v>-5</v>
      </c>
      <c r="H174" s="152">
        <f>-3-8</f>
        <v>-11</v>
      </c>
      <c r="I174" s="216">
        <f>-3-8</f>
        <v>-11</v>
      </c>
      <c r="J174" s="595"/>
      <c r="K174" s="121" t="s">
        <v>71</v>
      </c>
      <c r="L174" s="118" t="s">
        <v>790</v>
      </c>
    </row>
    <row r="175" spans="1:16" ht="12.75" customHeight="1" x14ac:dyDescent="0.45">
      <c r="A175" s="221" t="s">
        <v>793</v>
      </c>
      <c r="B175" s="391"/>
      <c r="C175" s="391">
        <v>32</v>
      </c>
      <c r="D175" s="392"/>
      <c r="E175" s="152"/>
      <c r="F175" s="152">
        <v>-6</v>
      </c>
      <c r="G175" s="152">
        <v>-6</v>
      </c>
      <c r="H175" s="152">
        <v>-6</v>
      </c>
      <c r="I175" s="216">
        <v>-6</v>
      </c>
      <c r="J175" s="595"/>
      <c r="K175" s="121" t="s">
        <v>71</v>
      </c>
      <c r="L175" s="118" t="s">
        <v>792</v>
      </c>
    </row>
    <row r="176" spans="1:16" ht="12.75" customHeight="1" x14ac:dyDescent="0.45">
      <c r="A176" s="221" t="s">
        <v>805</v>
      </c>
      <c r="B176" s="796"/>
      <c r="C176" s="391">
        <v>32</v>
      </c>
      <c r="D176" s="392"/>
      <c r="E176" s="152"/>
      <c r="F176" s="152">
        <v>-12</v>
      </c>
      <c r="G176" s="152">
        <v>-12</v>
      </c>
      <c r="H176" s="152">
        <v>-12</v>
      </c>
      <c r="I176" s="216">
        <v>-12</v>
      </c>
      <c r="J176" s="175"/>
      <c r="K176" s="121" t="s">
        <v>71</v>
      </c>
      <c r="L176" s="118" t="s">
        <v>792</v>
      </c>
    </row>
    <row r="177" spans="1:14" ht="12.75" customHeight="1" x14ac:dyDescent="0.45">
      <c r="A177" s="754" t="s">
        <v>801</v>
      </c>
      <c r="B177" s="391"/>
      <c r="C177" s="391">
        <v>32</v>
      </c>
      <c r="D177" s="392"/>
      <c r="E177" s="152"/>
      <c r="F177" s="152">
        <v>-1045</v>
      </c>
      <c r="G177" s="152">
        <v>-1045</v>
      </c>
      <c r="H177" s="152">
        <v>-1045</v>
      </c>
      <c r="I177" s="216">
        <v>-1045</v>
      </c>
      <c r="J177" s="595"/>
      <c r="K177" s="121" t="s">
        <v>71</v>
      </c>
      <c r="L177" s="118" t="s">
        <v>802</v>
      </c>
    </row>
    <row r="178" spans="1:14" ht="12.75" customHeight="1" x14ac:dyDescent="0.45">
      <c r="A178" s="788" t="s">
        <v>807</v>
      </c>
      <c r="B178" s="616"/>
      <c r="C178" s="391">
        <v>32</v>
      </c>
      <c r="D178" s="716"/>
      <c r="E178" s="723"/>
      <c r="F178" s="723">
        <v>-9</v>
      </c>
      <c r="G178" s="723">
        <v>-9</v>
      </c>
      <c r="H178" s="723">
        <v>-9</v>
      </c>
      <c r="I178" s="472">
        <v>-9</v>
      </c>
      <c r="J178" s="595"/>
      <c r="K178" s="790"/>
      <c r="L178" s="789" t="s">
        <v>804</v>
      </c>
    </row>
    <row r="179" spans="1:14" ht="12.75" customHeight="1" x14ac:dyDescent="0.45">
      <c r="A179" s="221" t="s">
        <v>844</v>
      </c>
      <c r="B179" s="391"/>
      <c r="C179" s="391">
        <v>32</v>
      </c>
      <c r="D179" s="392"/>
      <c r="E179" s="152"/>
      <c r="F179" s="152">
        <v>-265</v>
      </c>
      <c r="G179" s="152">
        <v>-265</v>
      </c>
      <c r="H179" s="152">
        <v>-265</v>
      </c>
      <c r="I179" s="216">
        <v>-265</v>
      </c>
      <c r="J179" s="175"/>
      <c r="K179" s="121" t="s">
        <v>71</v>
      </c>
      <c r="L179" s="118" t="s">
        <v>941</v>
      </c>
    </row>
    <row r="180" spans="1:14" ht="12.75" customHeight="1" x14ac:dyDescent="0.45">
      <c r="A180" s="221" t="s">
        <v>870</v>
      </c>
      <c r="B180" s="391"/>
      <c r="C180" s="391">
        <v>32</v>
      </c>
      <c r="D180" s="392"/>
      <c r="E180" s="152"/>
      <c r="F180" s="152">
        <v>13800</v>
      </c>
      <c r="G180" s="152">
        <v>13800</v>
      </c>
      <c r="H180" s="152">
        <v>13800</v>
      </c>
      <c r="I180" s="216">
        <v>13800</v>
      </c>
      <c r="J180" s="175"/>
      <c r="K180" s="121" t="s">
        <v>71</v>
      </c>
      <c r="L180" s="118" t="s">
        <v>941</v>
      </c>
    </row>
    <row r="181" spans="1:14" ht="12.75" customHeight="1" x14ac:dyDescent="0.45">
      <c r="A181" s="221" t="s">
        <v>871</v>
      </c>
      <c r="B181" s="391"/>
      <c r="C181" s="391">
        <v>32</v>
      </c>
      <c r="D181" s="392"/>
      <c r="E181" s="152"/>
      <c r="F181" s="152">
        <v>-3600</v>
      </c>
      <c r="G181" s="152">
        <v>-3600</v>
      </c>
      <c r="H181" s="152">
        <v>-3600</v>
      </c>
      <c r="I181" s="216">
        <v>-3600</v>
      </c>
      <c r="J181" s="175"/>
      <c r="K181" s="121" t="s">
        <v>71</v>
      </c>
      <c r="L181" s="118" t="s">
        <v>941</v>
      </c>
    </row>
    <row r="182" spans="1:14" ht="12.75" customHeight="1" x14ac:dyDescent="0.45">
      <c r="A182" s="788" t="s">
        <v>816</v>
      </c>
      <c r="B182" s="616" t="s">
        <v>872</v>
      </c>
      <c r="C182" s="391">
        <v>32</v>
      </c>
      <c r="D182" s="716"/>
      <c r="E182" s="723"/>
      <c r="F182" s="723"/>
      <c r="G182" s="723"/>
      <c r="H182" s="723"/>
      <c r="I182" s="472"/>
      <c r="J182" s="595"/>
      <c r="K182" s="790"/>
      <c r="L182" s="789"/>
    </row>
    <row r="183" spans="1:14" ht="12.75" customHeight="1" x14ac:dyDescent="0.45">
      <c r="A183" s="221" t="s">
        <v>845</v>
      </c>
      <c r="B183" s="616"/>
      <c r="C183" s="391">
        <v>32</v>
      </c>
      <c r="D183" s="716"/>
      <c r="E183" s="723"/>
      <c r="F183" s="152">
        <v>-6715</v>
      </c>
      <c r="G183" s="152">
        <v>-6715</v>
      </c>
      <c r="H183" s="152">
        <v>-6715</v>
      </c>
      <c r="I183" s="216">
        <v>-6715</v>
      </c>
      <c r="J183" s="595"/>
      <c r="K183" s="121" t="s">
        <v>71</v>
      </c>
      <c r="L183" s="118" t="s">
        <v>849</v>
      </c>
    </row>
    <row r="184" spans="1:14" ht="12.75" customHeight="1" x14ac:dyDescent="0.45">
      <c r="A184" s="221" t="s">
        <v>857</v>
      </c>
      <c r="B184" s="616"/>
      <c r="C184" s="391">
        <v>32</v>
      </c>
      <c r="D184" s="716"/>
      <c r="E184" s="723"/>
      <c r="F184" s="152">
        <v>-6548</v>
      </c>
      <c r="G184" s="152">
        <v>-6548</v>
      </c>
      <c r="H184" s="152">
        <v>-6548</v>
      </c>
      <c r="I184" s="216">
        <v>-6548</v>
      </c>
      <c r="J184" s="595"/>
      <c r="K184" s="121" t="s">
        <v>71</v>
      </c>
      <c r="L184" s="118" t="s">
        <v>858</v>
      </c>
    </row>
    <row r="185" spans="1:14" ht="12.75" customHeight="1" x14ac:dyDescent="0.45">
      <c r="A185" s="221" t="s">
        <v>869</v>
      </c>
      <c r="B185" s="391"/>
      <c r="C185" s="391">
        <v>32</v>
      </c>
      <c r="D185" s="392"/>
      <c r="E185" s="152"/>
      <c r="F185" s="152">
        <v>1189</v>
      </c>
      <c r="G185" s="152">
        <v>1728</v>
      </c>
      <c r="H185" s="152">
        <v>2285</v>
      </c>
      <c r="I185" s="216">
        <v>2271</v>
      </c>
      <c r="J185" s="175"/>
      <c r="K185" s="121" t="s">
        <v>71</v>
      </c>
      <c r="L185" s="118" t="s">
        <v>941</v>
      </c>
    </row>
    <row r="186" spans="1:14" ht="12.75" customHeight="1" x14ac:dyDescent="0.45">
      <c r="A186" s="221"/>
      <c r="B186" s="391"/>
      <c r="C186" s="391"/>
      <c r="D186" s="392"/>
      <c r="E186" s="152"/>
      <c r="F186" s="152"/>
      <c r="G186" s="152"/>
      <c r="H186" s="152"/>
      <c r="I186" s="216"/>
      <c r="J186" s="175"/>
      <c r="K186" s="121"/>
      <c r="L186" s="179"/>
    </row>
    <row r="187" spans="1:14" ht="12.75" customHeight="1" x14ac:dyDescent="0.45">
      <c r="A187" s="393" t="s">
        <v>295</v>
      </c>
      <c r="B187" s="391"/>
      <c r="C187" s="391"/>
      <c r="D187" s="392"/>
      <c r="E187" s="152"/>
      <c r="F187" s="152"/>
      <c r="G187" s="152"/>
      <c r="H187" s="152"/>
      <c r="I187" s="216"/>
      <c r="J187" s="118"/>
      <c r="K187" s="121"/>
      <c r="L187" s="179"/>
    </row>
    <row r="188" spans="1:14" ht="12.75" customHeight="1" x14ac:dyDescent="0.45">
      <c r="A188" s="221" t="s">
        <v>479</v>
      </c>
      <c r="B188" s="391"/>
      <c r="C188" s="391">
        <v>33</v>
      </c>
      <c r="D188" s="392"/>
      <c r="E188" s="152"/>
      <c r="F188" s="152">
        <v>-10042</v>
      </c>
      <c r="G188" s="152">
        <v>-10255</v>
      </c>
      <c r="H188" s="152">
        <v>-10182</v>
      </c>
      <c r="I188" s="216">
        <v>-10182</v>
      </c>
      <c r="J188" s="595"/>
      <c r="K188" s="121" t="s">
        <v>71</v>
      </c>
      <c r="L188" s="118" t="s">
        <v>480</v>
      </c>
    </row>
    <row r="189" spans="1:14" ht="12.75" customHeight="1" x14ac:dyDescent="0.45">
      <c r="A189" s="221" t="s">
        <v>579</v>
      </c>
      <c r="B189" s="391"/>
      <c r="C189" s="391">
        <v>33</v>
      </c>
      <c r="D189" s="392"/>
      <c r="E189" s="152"/>
      <c r="F189" s="152">
        <v>0</v>
      </c>
      <c r="G189" s="152">
        <v>0</v>
      </c>
      <c r="H189" s="152">
        <v>0</v>
      </c>
      <c r="I189" s="216">
        <v>0</v>
      </c>
      <c r="J189" s="595"/>
      <c r="K189" s="121" t="s">
        <v>71</v>
      </c>
      <c r="L189" s="118" t="s">
        <v>580</v>
      </c>
    </row>
    <row r="190" spans="1:14" ht="12.75" customHeight="1" x14ac:dyDescent="0.45">
      <c r="A190" s="221" t="s">
        <v>769</v>
      </c>
      <c r="B190" s="391"/>
      <c r="C190" s="391">
        <v>33</v>
      </c>
      <c r="D190" s="392"/>
      <c r="E190" s="152"/>
      <c r="F190" s="152">
        <v>-4697</v>
      </c>
      <c r="G190" s="152">
        <v>-4797</v>
      </c>
      <c r="H190" s="152">
        <v>-4762</v>
      </c>
      <c r="I190" s="216">
        <v>-4762</v>
      </c>
      <c r="J190" s="595"/>
      <c r="K190" s="121" t="s">
        <v>71</v>
      </c>
      <c r="L190" s="118" t="s">
        <v>771</v>
      </c>
    </row>
    <row r="191" spans="1:14" ht="12.75" customHeight="1" x14ac:dyDescent="0.45">
      <c r="A191" s="221" t="s">
        <v>789</v>
      </c>
      <c r="B191" s="391"/>
      <c r="C191" s="391">
        <v>33</v>
      </c>
      <c r="D191" s="392"/>
      <c r="E191" s="152"/>
      <c r="F191" s="152">
        <v>-3</v>
      </c>
      <c r="G191" s="152">
        <v>7</v>
      </c>
      <c r="H191" s="152">
        <v>1</v>
      </c>
      <c r="I191" s="216">
        <v>1</v>
      </c>
      <c r="J191" s="175"/>
      <c r="K191" s="121" t="s">
        <v>71</v>
      </c>
      <c r="L191" s="118" t="s">
        <v>790</v>
      </c>
      <c r="N191" s="105"/>
    </row>
    <row r="192" spans="1:14" ht="12.75" customHeight="1" x14ac:dyDescent="0.45">
      <c r="A192" s="221" t="s">
        <v>869</v>
      </c>
      <c r="B192" s="391"/>
      <c r="C192" s="391">
        <v>33</v>
      </c>
      <c r="D192" s="392"/>
      <c r="E192" s="152"/>
      <c r="F192" s="152">
        <v>16315</v>
      </c>
      <c r="G192" s="152">
        <v>19202</v>
      </c>
      <c r="H192" s="152">
        <v>27220</v>
      </c>
      <c r="I192" s="216">
        <v>42872</v>
      </c>
      <c r="J192" s="175"/>
      <c r="K192" s="121" t="s">
        <v>71</v>
      </c>
      <c r="L192" s="118" t="s">
        <v>941</v>
      </c>
      <c r="M192" t="s">
        <v>938</v>
      </c>
    </row>
    <row r="193" spans="1:13" ht="12.75" customHeight="1" x14ac:dyDescent="0.45">
      <c r="A193" s="221"/>
      <c r="B193" s="391"/>
      <c r="C193" s="391"/>
      <c r="D193" s="392"/>
      <c r="E193" s="152"/>
      <c r="F193" s="152"/>
      <c r="G193" s="152"/>
      <c r="H193" s="152"/>
      <c r="I193" s="216"/>
      <c r="J193" s="118"/>
      <c r="K193" s="121"/>
      <c r="L193" s="118"/>
    </row>
    <row r="194" spans="1:13" ht="12.75" customHeight="1" x14ac:dyDescent="0.45">
      <c r="A194" s="393" t="s">
        <v>63</v>
      </c>
      <c r="B194" s="391"/>
      <c r="C194" s="391"/>
      <c r="D194" s="392"/>
      <c r="E194" s="152"/>
      <c r="F194" s="152"/>
      <c r="G194" s="152"/>
      <c r="H194" s="152"/>
      <c r="I194" s="216"/>
      <c r="J194" s="178"/>
      <c r="K194" s="121"/>
      <c r="L194" s="118"/>
    </row>
    <row r="195" spans="1:13" ht="12.75" customHeight="1" x14ac:dyDescent="0.45">
      <c r="A195" s="220" t="s">
        <v>392</v>
      </c>
      <c r="B195" s="391"/>
      <c r="C195" s="391">
        <v>34</v>
      </c>
      <c r="D195" s="392"/>
      <c r="E195" s="152"/>
      <c r="F195" s="152">
        <v>-37</v>
      </c>
      <c r="G195" s="152">
        <v>-37</v>
      </c>
      <c r="H195" s="152">
        <v>-37</v>
      </c>
      <c r="I195" s="216">
        <v>-37</v>
      </c>
      <c r="J195" s="178"/>
      <c r="K195" s="121" t="s">
        <v>71</v>
      </c>
      <c r="L195" s="118" t="s">
        <v>391</v>
      </c>
    </row>
    <row r="196" spans="1:13" ht="12.75" customHeight="1" x14ac:dyDescent="0.45">
      <c r="A196" s="221" t="s">
        <v>429</v>
      </c>
      <c r="B196" s="391"/>
      <c r="C196" s="391">
        <v>34</v>
      </c>
      <c r="D196" s="394"/>
      <c r="E196" s="152"/>
      <c r="F196" s="152">
        <v>0</v>
      </c>
      <c r="G196" s="152">
        <v>35</v>
      </c>
      <c r="H196" s="152">
        <v>-1287</v>
      </c>
      <c r="I196" s="216">
        <v>25565</v>
      </c>
      <c r="K196" s="30" t="s">
        <v>71</v>
      </c>
      <c r="L196" s="118" t="s">
        <v>430</v>
      </c>
    </row>
    <row r="197" spans="1:13" ht="12.75" customHeight="1" x14ac:dyDescent="0.45">
      <c r="A197" s="221" t="s">
        <v>476</v>
      </c>
      <c r="B197" s="391"/>
      <c r="C197" s="391">
        <v>34</v>
      </c>
      <c r="D197" s="392"/>
      <c r="E197" s="152"/>
      <c r="F197" s="152">
        <v>-6276</v>
      </c>
      <c r="G197" s="152">
        <v>-6276</v>
      </c>
      <c r="H197" s="152">
        <v>0</v>
      </c>
      <c r="I197" s="216">
        <v>0</v>
      </c>
      <c r="J197" s="175"/>
      <c r="K197" s="121" t="s">
        <v>71</v>
      </c>
      <c r="L197" s="118" t="s">
        <v>475</v>
      </c>
    </row>
    <row r="198" spans="1:13" ht="12.75" customHeight="1" x14ac:dyDescent="0.45">
      <c r="A198" s="221" t="s">
        <v>479</v>
      </c>
      <c r="B198" s="391"/>
      <c r="C198" s="391">
        <v>34</v>
      </c>
      <c r="D198" s="394"/>
      <c r="E198" s="152"/>
      <c r="F198" s="152">
        <v>1324</v>
      </c>
      <c r="G198" s="152">
        <v>1372</v>
      </c>
      <c r="H198" s="152">
        <v>1393</v>
      </c>
      <c r="I198" s="216">
        <v>1478</v>
      </c>
      <c r="J198" s="595"/>
      <c r="K198" s="121" t="s">
        <v>71</v>
      </c>
      <c r="L198" s="118" t="s">
        <v>480</v>
      </c>
    </row>
    <row r="199" spans="1:13" ht="12.75" customHeight="1" x14ac:dyDescent="0.45">
      <c r="A199" s="221" t="s">
        <v>507</v>
      </c>
      <c r="B199" s="391"/>
      <c r="C199" s="391">
        <v>34</v>
      </c>
      <c r="D199" s="392"/>
      <c r="E199" s="152"/>
      <c r="F199" s="152">
        <v>0</v>
      </c>
      <c r="G199" s="152">
        <v>0</v>
      </c>
      <c r="H199" s="152">
        <v>0</v>
      </c>
      <c r="I199" s="216">
        <v>-486</v>
      </c>
      <c r="J199" s="178"/>
      <c r="K199" s="121" t="s">
        <v>71</v>
      </c>
      <c r="L199" s="118" t="s">
        <v>506</v>
      </c>
    </row>
    <row r="200" spans="1:13" ht="12.75" customHeight="1" x14ac:dyDescent="0.45">
      <c r="A200" s="221" t="s">
        <v>579</v>
      </c>
      <c r="B200" s="391"/>
      <c r="C200" s="391">
        <v>34</v>
      </c>
      <c r="D200" s="392"/>
      <c r="E200" s="152"/>
      <c r="F200" s="152">
        <v>-183</v>
      </c>
      <c r="G200" s="152">
        <v>-185</v>
      </c>
      <c r="H200" s="152">
        <v>-188</v>
      </c>
      <c r="I200" s="216">
        <v>-202</v>
      </c>
      <c r="J200" s="178"/>
      <c r="K200" s="121" t="s">
        <v>71</v>
      </c>
      <c r="L200" s="118" t="s">
        <v>580</v>
      </c>
    </row>
    <row r="201" spans="1:13" ht="12.75" customHeight="1" x14ac:dyDescent="0.45">
      <c r="A201" s="221" t="s">
        <v>619</v>
      </c>
      <c r="B201" s="391"/>
      <c r="C201" s="391">
        <v>34</v>
      </c>
      <c r="D201" s="392"/>
      <c r="E201" s="152"/>
      <c r="F201" s="152">
        <v>50</v>
      </c>
      <c r="G201" s="152">
        <v>50</v>
      </c>
      <c r="H201" s="152">
        <v>50</v>
      </c>
      <c r="I201" s="216">
        <v>50</v>
      </c>
      <c r="J201" s="178"/>
      <c r="K201" s="121" t="s">
        <v>71</v>
      </c>
      <c r="L201" s="118" t="s">
        <v>620</v>
      </c>
    </row>
    <row r="202" spans="1:13" ht="12.75" customHeight="1" x14ac:dyDescent="0.45">
      <c r="A202" s="221" t="s">
        <v>622</v>
      </c>
      <c r="B202" s="391"/>
      <c r="C202" s="391">
        <v>34</v>
      </c>
      <c r="D202" s="392"/>
      <c r="E202" s="152"/>
      <c r="F202" s="152">
        <v>-1101</v>
      </c>
      <c r="G202" s="152">
        <v>-1399</v>
      </c>
      <c r="H202" s="152">
        <v>-1328</v>
      </c>
      <c r="I202" s="216">
        <v>-684</v>
      </c>
      <c r="J202" s="595"/>
      <c r="K202" s="121" t="s">
        <v>71</v>
      </c>
      <c r="L202" s="118" t="s">
        <v>620</v>
      </c>
    </row>
    <row r="203" spans="1:13" ht="12.75" customHeight="1" x14ac:dyDescent="0.45">
      <c r="A203" s="221" t="s">
        <v>623</v>
      </c>
      <c r="B203" s="391"/>
      <c r="C203" s="391">
        <v>34</v>
      </c>
      <c r="D203" s="392"/>
      <c r="E203" s="152"/>
      <c r="F203" s="152">
        <v>16147</v>
      </c>
      <c r="G203" s="152">
        <v>15670</v>
      </c>
      <c r="H203" s="152">
        <v>15774</v>
      </c>
      <c r="I203" s="216">
        <v>19369</v>
      </c>
      <c r="J203" s="178"/>
      <c r="K203" s="121" t="s">
        <v>71</v>
      </c>
      <c r="L203" s="118" t="s">
        <v>620</v>
      </c>
    </row>
    <row r="204" spans="1:13" ht="12.75" customHeight="1" x14ac:dyDescent="0.45">
      <c r="A204" s="221" t="s">
        <v>624</v>
      </c>
      <c r="B204" s="391"/>
      <c r="C204" s="391">
        <v>34</v>
      </c>
      <c r="D204" s="392"/>
      <c r="E204" s="152"/>
      <c r="F204" s="152">
        <v>-1599</v>
      </c>
      <c r="G204" s="152">
        <v>244</v>
      </c>
      <c r="H204" s="152">
        <v>2590</v>
      </c>
      <c r="I204" s="216">
        <v>4768</v>
      </c>
      <c r="J204" s="178"/>
      <c r="K204" s="121" t="s">
        <v>71</v>
      </c>
      <c r="L204" s="118" t="s">
        <v>620</v>
      </c>
    </row>
    <row r="205" spans="1:13" ht="12.75" customHeight="1" x14ac:dyDescent="0.45">
      <c r="A205" s="221" t="s">
        <v>641</v>
      </c>
      <c r="B205" s="391"/>
      <c r="C205" s="391">
        <v>34</v>
      </c>
      <c r="D205" s="392"/>
      <c r="E205" s="152"/>
      <c r="F205" s="152">
        <v>-192</v>
      </c>
      <c r="G205" s="152">
        <v>-192</v>
      </c>
      <c r="H205" s="152">
        <v>-192</v>
      </c>
      <c r="I205" s="216">
        <v>-192</v>
      </c>
      <c r="J205" s="178"/>
      <c r="K205" s="121" t="s">
        <v>71</v>
      </c>
      <c r="L205" s="118" t="s">
        <v>640</v>
      </c>
    </row>
    <row r="206" spans="1:13" ht="12.75" customHeight="1" x14ac:dyDescent="0.45">
      <c r="A206" s="221" t="s">
        <v>646</v>
      </c>
      <c r="B206" s="391"/>
      <c r="C206" s="391">
        <v>34</v>
      </c>
      <c r="D206" s="392"/>
      <c r="E206" s="152"/>
      <c r="F206" s="152"/>
      <c r="G206" s="152"/>
      <c r="H206" s="152"/>
      <c r="I206" s="216"/>
      <c r="J206" s="595"/>
      <c r="K206" s="121" t="s">
        <v>71</v>
      </c>
      <c r="L206" s="118" t="s">
        <v>774</v>
      </c>
    </row>
    <row r="207" spans="1:13" ht="12.75" customHeight="1" x14ac:dyDescent="0.45">
      <c r="A207" s="221" t="s">
        <v>769</v>
      </c>
      <c r="B207" s="391"/>
      <c r="C207" s="391">
        <v>34</v>
      </c>
      <c r="D207" s="392"/>
      <c r="E207" s="152"/>
      <c r="F207" s="152">
        <v>-6364</v>
      </c>
      <c r="G207" s="152">
        <v>-6463</v>
      </c>
      <c r="H207" s="152">
        <v>-6576</v>
      </c>
      <c r="I207" s="216">
        <v>-7127</v>
      </c>
      <c r="J207" s="595"/>
      <c r="K207" s="121" t="s">
        <v>71</v>
      </c>
      <c r="L207" s="118" t="s">
        <v>770</v>
      </c>
    </row>
    <row r="208" spans="1:13" ht="12.75" customHeight="1" x14ac:dyDescent="0.45">
      <c r="A208" s="220" t="s">
        <v>776</v>
      </c>
      <c r="B208" s="616"/>
      <c r="C208" s="391">
        <v>34</v>
      </c>
      <c r="D208" s="716"/>
      <c r="E208" s="723"/>
      <c r="F208" s="152">
        <v>1760</v>
      </c>
      <c r="G208" s="152">
        <v>1760</v>
      </c>
      <c r="H208" s="152">
        <v>1760</v>
      </c>
      <c r="I208" s="216">
        <v>1760</v>
      </c>
      <c r="J208" s="118"/>
      <c r="K208" s="121" t="s">
        <v>71</v>
      </c>
      <c r="L208" s="118" t="s">
        <v>910</v>
      </c>
      <c r="M208" s="815"/>
    </row>
    <row r="209" spans="1:13" ht="12.75" customHeight="1" x14ac:dyDescent="0.45">
      <c r="A209" s="220" t="s">
        <v>803</v>
      </c>
      <c r="B209" s="616"/>
      <c r="C209" s="391">
        <v>34</v>
      </c>
      <c r="D209" s="716"/>
      <c r="E209" s="723"/>
      <c r="F209" s="152">
        <v>199</v>
      </c>
      <c r="G209" s="152">
        <v>185</v>
      </c>
      <c r="H209" s="152">
        <v>185</v>
      </c>
      <c r="I209" s="216">
        <v>185</v>
      </c>
      <c r="J209" s="118"/>
      <c r="K209" s="121" t="s">
        <v>71</v>
      </c>
      <c r="L209" s="118" t="s">
        <v>910</v>
      </c>
      <c r="M209" s="815"/>
    </row>
    <row r="210" spans="1:13" ht="12.75" customHeight="1" x14ac:dyDescent="0.45">
      <c r="A210" s="221" t="s">
        <v>777</v>
      </c>
      <c r="B210" s="616"/>
      <c r="C210" s="391">
        <v>34</v>
      </c>
      <c r="D210" s="716"/>
      <c r="E210" s="723"/>
      <c r="F210" s="152">
        <v>8781</v>
      </c>
      <c r="G210" s="152">
        <v>11227</v>
      </c>
      <c r="H210" s="152">
        <v>11227</v>
      </c>
      <c r="I210" s="216">
        <v>11227</v>
      </c>
      <c r="J210" s="118"/>
      <c r="K210" s="121" t="s">
        <v>71</v>
      </c>
      <c r="L210" s="118" t="s">
        <v>778</v>
      </c>
      <c r="M210" s="28"/>
    </row>
    <row r="211" spans="1:13" ht="12.75" customHeight="1" x14ac:dyDescent="0.45">
      <c r="A211" s="221" t="s">
        <v>789</v>
      </c>
      <c r="B211" s="616"/>
      <c r="C211" s="391">
        <v>34</v>
      </c>
      <c r="D211" s="716"/>
      <c r="E211" s="723"/>
      <c r="F211" s="152">
        <f>-19+10</f>
        <v>-9</v>
      </c>
      <c r="G211" s="152">
        <f>-5-4</f>
        <v>-9</v>
      </c>
      <c r="H211" s="152">
        <f>-7-3</f>
        <v>-10</v>
      </c>
      <c r="I211" s="216">
        <f>-7-3</f>
        <v>-10</v>
      </c>
      <c r="J211" s="118"/>
      <c r="K211" s="121" t="s">
        <v>71</v>
      </c>
      <c r="L211" s="118" t="s">
        <v>790</v>
      </c>
      <c r="M211" s="28"/>
    </row>
    <row r="212" spans="1:13" ht="12.75" customHeight="1" x14ac:dyDescent="0.45">
      <c r="A212" s="221" t="s">
        <v>805</v>
      </c>
      <c r="B212" s="796"/>
      <c r="C212" s="391">
        <v>34</v>
      </c>
      <c r="D212" s="392"/>
      <c r="E212" s="152"/>
      <c r="F212" s="152">
        <v>-12</v>
      </c>
      <c r="G212" s="152">
        <v>-12</v>
      </c>
      <c r="H212" s="152">
        <v>-12</v>
      </c>
      <c r="I212" s="216">
        <v>-12</v>
      </c>
      <c r="J212" s="175"/>
      <c r="K212" s="121" t="s">
        <v>71</v>
      </c>
      <c r="L212" s="118" t="s">
        <v>792</v>
      </c>
      <c r="M212" s="28"/>
    </row>
    <row r="213" spans="1:13" ht="12.75" customHeight="1" x14ac:dyDescent="0.45">
      <c r="A213" s="221" t="s">
        <v>799</v>
      </c>
      <c r="B213" s="616"/>
      <c r="C213" s="391">
        <v>34</v>
      </c>
      <c r="D213" s="716"/>
      <c r="E213" s="723"/>
      <c r="F213" s="152">
        <v>-2490</v>
      </c>
      <c r="G213" s="152">
        <v>-2490</v>
      </c>
      <c r="H213" s="152">
        <v>-2490</v>
      </c>
      <c r="I213" s="216">
        <v>-2490</v>
      </c>
      <c r="J213" s="118"/>
      <c r="K213" s="121" t="s">
        <v>71</v>
      </c>
      <c r="L213" s="118" t="s">
        <v>800</v>
      </c>
      <c r="M213" s="28"/>
    </row>
    <row r="214" spans="1:13" ht="12.75" customHeight="1" x14ac:dyDescent="0.45">
      <c r="A214" s="221" t="s">
        <v>812</v>
      </c>
      <c r="B214" s="391"/>
      <c r="C214" s="391">
        <v>34</v>
      </c>
      <c r="D214" s="392"/>
      <c r="E214" s="152"/>
      <c r="F214" s="152">
        <v>121</v>
      </c>
      <c r="G214" s="152">
        <v>97</v>
      </c>
      <c r="H214" s="152">
        <v>91</v>
      </c>
      <c r="I214" s="216">
        <v>86</v>
      </c>
      <c r="J214" s="595"/>
      <c r="K214" s="121" t="s">
        <v>71</v>
      </c>
      <c r="L214" s="118" t="s">
        <v>800</v>
      </c>
    </row>
    <row r="215" spans="1:13" ht="12.75" customHeight="1" x14ac:dyDescent="0.45">
      <c r="A215" s="221" t="s">
        <v>813</v>
      </c>
      <c r="B215" s="391"/>
      <c r="C215" s="391">
        <v>34</v>
      </c>
      <c r="D215" s="392"/>
      <c r="E215" s="152"/>
      <c r="F215" s="152">
        <v>-203</v>
      </c>
      <c r="G215" s="152">
        <v>-203</v>
      </c>
      <c r="H215" s="152">
        <v>-204</v>
      </c>
      <c r="I215" s="216">
        <v>-205</v>
      </c>
      <c r="J215" s="178"/>
      <c r="K215" s="121" t="s">
        <v>71</v>
      </c>
      <c r="L215" s="118" t="s">
        <v>800</v>
      </c>
    </row>
    <row r="216" spans="1:13" ht="12.75" customHeight="1" x14ac:dyDescent="0.45">
      <c r="A216" s="221" t="s">
        <v>814</v>
      </c>
      <c r="B216" s="391"/>
      <c r="C216" s="391">
        <v>34</v>
      </c>
      <c r="D216" s="392"/>
      <c r="E216" s="152"/>
      <c r="F216" s="152">
        <v>-273</v>
      </c>
      <c r="G216" s="152">
        <v>-4901</v>
      </c>
      <c r="H216" s="152">
        <v>-7562</v>
      </c>
      <c r="I216" s="216">
        <v>-7643</v>
      </c>
      <c r="J216" s="178"/>
      <c r="K216" s="121" t="s">
        <v>71</v>
      </c>
      <c r="L216" s="118" t="s">
        <v>800</v>
      </c>
    </row>
    <row r="217" spans="1:13" ht="12.75" customHeight="1" x14ac:dyDescent="0.45">
      <c r="A217" s="221" t="s">
        <v>828</v>
      </c>
      <c r="B217" s="616"/>
      <c r="C217" s="391">
        <v>34</v>
      </c>
      <c r="D217" s="716"/>
      <c r="E217" s="723"/>
      <c r="F217" s="152">
        <v>0</v>
      </c>
      <c r="G217" s="152">
        <v>0</v>
      </c>
      <c r="H217" s="152">
        <v>0</v>
      </c>
      <c r="I217" s="216">
        <v>-26286</v>
      </c>
      <c r="J217" s="118"/>
      <c r="K217" s="121" t="s">
        <v>71</v>
      </c>
      <c r="L217" s="118" t="s">
        <v>825</v>
      </c>
      <c r="M217" s="28"/>
    </row>
    <row r="218" spans="1:13" ht="12.75" customHeight="1" x14ac:dyDescent="0.45">
      <c r="A218" s="221" t="s">
        <v>834</v>
      </c>
      <c r="B218" s="616"/>
      <c r="C218" s="391">
        <v>34</v>
      </c>
      <c r="D218" s="716"/>
      <c r="E218" s="723"/>
      <c r="F218" s="152">
        <f>1913-214</f>
        <v>1699</v>
      </c>
      <c r="G218" s="152">
        <f t="shared" ref="G218:I218" si="1">1913-214</f>
        <v>1699</v>
      </c>
      <c r="H218" s="152">
        <f t="shared" si="1"/>
        <v>1699</v>
      </c>
      <c r="I218" s="152">
        <f t="shared" si="1"/>
        <v>1699</v>
      </c>
      <c r="J218" s="118"/>
      <c r="K218" s="121" t="s">
        <v>71</v>
      </c>
      <c r="L218" s="118" t="s">
        <v>868</v>
      </c>
      <c r="M218" s="28"/>
    </row>
    <row r="219" spans="1:13" ht="12.75" customHeight="1" x14ac:dyDescent="0.45">
      <c r="A219" s="221" t="s">
        <v>836</v>
      </c>
      <c r="B219" s="616"/>
      <c r="C219" s="391">
        <v>34</v>
      </c>
      <c r="D219" s="716"/>
      <c r="E219" s="723"/>
      <c r="F219" s="152">
        <v>120</v>
      </c>
      <c r="G219" s="152">
        <v>120</v>
      </c>
      <c r="H219" s="152">
        <v>120</v>
      </c>
      <c r="I219" s="216">
        <v>120</v>
      </c>
      <c r="J219" s="118"/>
      <c r="K219" s="121" t="s">
        <v>71</v>
      </c>
      <c r="L219" s="118" t="s">
        <v>837</v>
      </c>
      <c r="M219" s="28"/>
    </row>
    <row r="220" spans="1:13" ht="12.75" customHeight="1" x14ac:dyDescent="0.45">
      <c r="A220" s="221"/>
      <c r="B220" s="616"/>
      <c r="C220" s="391"/>
      <c r="D220" s="716"/>
      <c r="E220" s="723"/>
      <c r="F220" s="152"/>
      <c r="G220" s="152"/>
      <c r="H220" s="152"/>
      <c r="I220" s="216"/>
      <c r="J220" s="118"/>
      <c r="K220" s="121"/>
      <c r="L220" s="118"/>
      <c r="M220" s="28"/>
    </row>
    <row r="221" spans="1:13" ht="12.75" customHeight="1" x14ac:dyDescent="0.45">
      <c r="A221" s="221"/>
      <c r="B221" s="616"/>
      <c r="C221" s="391"/>
      <c r="D221" s="716"/>
      <c r="E221" s="723"/>
      <c r="F221" s="152"/>
      <c r="G221" s="152"/>
      <c r="H221" s="152"/>
      <c r="I221" s="216"/>
      <c r="J221" s="118"/>
      <c r="K221" s="121"/>
      <c r="L221" s="118"/>
      <c r="M221" s="28"/>
    </row>
    <row r="222" spans="1:13" ht="12.75" customHeight="1" x14ac:dyDescent="0.45">
      <c r="A222" s="221"/>
      <c r="B222" s="391"/>
      <c r="C222" s="391"/>
      <c r="D222" s="392"/>
      <c r="E222" s="152"/>
      <c r="F222" s="152"/>
      <c r="G222" s="152"/>
      <c r="H222" s="152"/>
      <c r="I222" s="216"/>
      <c r="J222" s="178"/>
      <c r="K222" s="121"/>
      <c r="L222" s="118"/>
    </row>
    <row r="223" spans="1:13" ht="12.75" customHeight="1" x14ac:dyDescent="0.45">
      <c r="A223" s="393" t="s">
        <v>69</v>
      </c>
      <c r="B223" s="464"/>
      <c r="C223" s="464"/>
      <c r="D223" s="394"/>
      <c r="E223" s="152"/>
      <c r="F223" s="152"/>
      <c r="G223" s="152"/>
      <c r="H223" s="152"/>
      <c r="I223" s="216"/>
      <c r="J223" s="178"/>
      <c r="K223" s="121"/>
      <c r="L223" s="118"/>
    </row>
    <row r="224" spans="1:13" ht="12.75" customHeight="1" x14ac:dyDescent="0.45">
      <c r="A224" s="221" t="s">
        <v>479</v>
      </c>
      <c r="B224" s="391"/>
      <c r="C224" s="391">
        <v>35</v>
      </c>
      <c r="D224" s="394"/>
      <c r="E224" s="152"/>
      <c r="F224" s="152">
        <v>110</v>
      </c>
      <c r="G224" s="152">
        <v>109</v>
      </c>
      <c r="H224" s="152">
        <v>109</v>
      </c>
      <c r="I224" s="216">
        <v>109</v>
      </c>
      <c r="K224" s="30" t="s">
        <v>71</v>
      </c>
      <c r="L224" s="118" t="s">
        <v>480</v>
      </c>
    </row>
    <row r="225" spans="1:13" ht="12.75" customHeight="1" x14ac:dyDescent="0.45">
      <c r="A225" s="221" t="s">
        <v>579</v>
      </c>
      <c r="B225" s="391"/>
      <c r="C225" s="391">
        <v>35</v>
      </c>
      <c r="D225" s="392"/>
      <c r="E225" s="152"/>
      <c r="F225" s="152">
        <v>-24</v>
      </c>
      <c r="G225" s="152">
        <v>-23</v>
      </c>
      <c r="H225" s="152">
        <v>-23</v>
      </c>
      <c r="I225" s="216">
        <v>-23</v>
      </c>
      <c r="J225" s="595"/>
      <c r="K225" s="121" t="s">
        <v>71</v>
      </c>
      <c r="L225" s="118" t="s">
        <v>580</v>
      </c>
    </row>
    <row r="226" spans="1:13" ht="12.75" customHeight="1" x14ac:dyDescent="0.45">
      <c r="A226" s="221" t="s">
        <v>626</v>
      </c>
      <c r="B226" s="391"/>
      <c r="C226" s="391">
        <v>35</v>
      </c>
      <c r="D226" s="392"/>
      <c r="E226" s="152"/>
      <c r="F226" s="152">
        <v>-300</v>
      </c>
      <c r="G226" s="152">
        <v>-420</v>
      </c>
      <c r="H226" s="152">
        <v>-420</v>
      </c>
      <c r="I226" s="216">
        <v>-420</v>
      </c>
      <c r="J226" s="595"/>
      <c r="K226" s="121" t="s">
        <v>71</v>
      </c>
      <c r="L226" s="118" t="s">
        <v>587</v>
      </c>
    </row>
    <row r="227" spans="1:13" ht="12.75" customHeight="1" x14ac:dyDescent="0.45">
      <c r="A227" s="221" t="s">
        <v>646</v>
      </c>
      <c r="B227" s="391"/>
      <c r="C227" s="391">
        <v>35</v>
      </c>
      <c r="D227" s="392"/>
      <c r="E227" s="152"/>
      <c r="F227" s="152"/>
      <c r="G227" s="152"/>
      <c r="H227" s="152"/>
      <c r="I227" s="216"/>
      <c r="J227" s="595"/>
      <c r="K227" s="121" t="s">
        <v>71</v>
      </c>
      <c r="L227" s="118" t="s">
        <v>774</v>
      </c>
    </row>
    <row r="228" spans="1:13" ht="12.75" customHeight="1" x14ac:dyDescent="0.45">
      <c r="A228" s="221" t="s">
        <v>769</v>
      </c>
      <c r="B228" s="391"/>
      <c r="C228" s="391">
        <v>35</v>
      </c>
      <c r="D228" s="392"/>
      <c r="E228" s="152"/>
      <c r="F228" s="152">
        <v>90</v>
      </c>
      <c r="G228" s="152">
        <v>95</v>
      </c>
      <c r="H228" s="152">
        <v>96</v>
      </c>
      <c r="I228" s="216">
        <v>96</v>
      </c>
      <c r="J228" s="595"/>
      <c r="K228" s="121" t="s">
        <v>71</v>
      </c>
      <c r="L228" s="118" t="s">
        <v>772</v>
      </c>
    </row>
    <row r="229" spans="1:13" ht="12.75" customHeight="1" x14ac:dyDescent="0.45">
      <c r="A229" s="221" t="s">
        <v>777</v>
      </c>
      <c r="B229" s="391"/>
      <c r="C229" s="391">
        <v>35</v>
      </c>
      <c r="D229" s="392"/>
      <c r="E229" s="152"/>
      <c r="F229" s="152">
        <v>1112</v>
      </c>
      <c r="G229" s="152">
        <v>1458</v>
      </c>
      <c r="H229" s="152">
        <v>1458</v>
      </c>
      <c r="I229" s="216">
        <v>1458</v>
      </c>
      <c r="J229" s="595"/>
      <c r="K229" s="121" t="s">
        <v>71</v>
      </c>
      <c r="L229" s="118" t="s">
        <v>778</v>
      </c>
    </row>
    <row r="230" spans="1:13" ht="12.75" customHeight="1" x14ac:dyDescent="0.45">
      <c r="A230" s="221" t="s">
        <v>789</v>
      </c>
      <c r="B230" s="391"/>
      <c r="C230" s="391">
        <v>35</v>
      </c>
      <c r="D230" s="392"/>
      <c r="E230" s="152"/>
      <c r="F230" s="152">
        <v>3</v>
      </c>
      <c r="G230" s="152">
        <v>-2</v>
      </c>
      <c r="H230" s="152">
        <v>-2</v>
      </c>
      <c r="I230" s="216">
        <v>-2</v>
      </c>
      <c r="J230" s="595"/>
      <c r="K230" s="121" t="s">
        <v>71</v>
      </c>
      <c r="L230" s="118" t="s">
        <v>790</v>
      </c>
    </row>
    <row r="231" spans="1:13" ht="12.75" customHeight="1" x14ac:dyDescent="0.45">
      <c r="A231" s="221" t="s">
        <v>805</v>
      </c>
      <c r="B231" s="796"/>
      <c r="C231" s="391">
        <v>35</v>
      </c>
      <c r="D231" s="392"/>
      <c r="E231" s="152"/>
      <c r="F231" s="152">
        <v>-4</v>
      </c>
      <c r="G231" s="152">
        <v>-4</v>
      </c>
      <c r="H231" s="152">
        <v>-4</v>
      </c>
      <c r="I231" s="216">
        <v>-4</v>
      </c>
      <c r="J231" s="175"/>
      <c r="K231" s="121" t="s">
        <v>71</v>
      </c>
      <c r="L231" s="118" t="s">
        <v>792</v>
      </c>
    </row>
    <row r="232" spans="1:13" ht="12.75" customHeight="1" x14ac:dyDescent="0.45">
      <c r="A232" s="221" t="s">
        <v>787</v>
      </c>
      <c r="B232" s="391"/>
      <c r="C232" s="391">
        <v>35</v>
      </c>
      <c r="D232" s="392"/>
      <c r="E232" s="152"/>
      <c r="F232" s="152">
        <v>-249822</v>
      </c>
      <c r="G232" s="152">
        <v>-249821</v>
      </c>
      <c r="H232" s="152">
        <v>-249821</v>
      </c>
      <c r="I232" s="216">
        <v>-249821</v>
      </c>
      <c r="J232" s="595"/>
      <c r="K232" s="121" t="s">
        <v>71</v>
      </c>
      <c r="L232" s="118" t="s">
        <v>788</v>
      </c>
    </row>
    <row r="233" spans="1:13" ht="12.75" customHeight="1" x14ac:dyDescent="0.45">
      <c r="A233" s="221" t="s">
        <v>794</v>
      </c>
      <c r="B233" s="796"/>
      <c r="C233" s="391">
        <v>35</v>
      </c>
      <c r="D233" s="392"/>
      <c r="E233" s="152"/>
      <c r="F233" s="152">
        <v>-28034</v>
      </c>
      <c r="G233" s="152">
        <v>-28001</v>
      </c>
      <c r="H233" s="152">
        <v>-28001</v>
      </c>
      <c r="I233" s="216">
        <v>-28001</v>
      </c>
      <c r="J233" s="175"/>
      <c r="K233" s="121" t="s">
        <v>71</v>
      </c>
      <c r="L233" s="118" t="s">
        <v>788</v>
      </c>
    </row>
    <row r="234" spans="1:13" ht="14.25" x14ac:dyDescent="0.45">
      <c r="A234" s="220" t="s">
        <v>795</v>
      </c>
      <c r="B234" s="796"/>
      <c r="C234" s="391">
        <v>35</v>
      </c>
      <c r="D234" s="392"/>
      <c r="E234" s="152"/>
      <c r="F234" s="152">
        <v>-4269</v>
      </c>
      <c r="G234" s="152">
        <v>-4269</v>
      </c>
      <c r="H234" s="152">
        <v>-4269</v>
      </c>
      <c r="I234" s="216">
        <v>-4269</v>
      </c>
      <c r="J234" s="175"/>
      <c r="K234" s="121" t="s">
        <v>71</v>
      </c>
      <c r="L234" s="118" t="s">
        <v>933</v>
      </c>
      <c r="M234" s="28"/>
    </row>
    <row r="235" spans="1:13" ht="12.75" customHeight="1" x14ac:dyDescent="0.45">
      <c r="A235" s="221" t="s">
        <v>796</v>
      </c>
      <c r="B235" s="796"/>
      <c r="C235" s="391">
        <v>35</v>
      </c>
      <c r="D235" s="392"/>
      <c r="E235" s="152"/>
      <c r="F235" s="152">
        <v>-2896</v>
      </c>
      <c r="G235" s="152">
        <v>-2896</v>
      </c>
      <c r="H235" s="152">
        <v>-2896</v>
      </c>
      <c r="I235" s="216">
        <v>-2896</v>
      </c>
      <c r="J235" s="175"/>
      <c r="K235" s="121" t="s">
        <v>71</v>
      </c>
      <c r="L235" s="118" t="s">
        <v>933</v>
      </c>
      <c r="M235" s="28"/>
    </row>
    <row r="236" spans="1:13" ht="14.25" x14ac:dyDescent="0.45">
      <c r="A236" s="220" t="s">
        <v>797</v>
      </c>
      <c r="B236" s="796"/>
      <c r="C236" s="391">
        <v>35</v>
      </c>
      <c r="D236" s="392"/>
      <c r="E236" s="152"/>
      <c r="F236" s="152">
        <v>-4959</v>
      </c>
      <c r="G236" s="152">
        <v>-4959</v>
      </c>
      <c r="H236" s="152">
        <v>-4959</v>
      </c>
      <c r="I236" s="216">
        <v>-4959</v>
      </c>
      <c r="J236" s="175"/>
      <c r="K236" s="121" t="s">
        <v>71</v>
      </c>
      <c r="L236" s="118" t="s">
        <v>933</v>
      </c>
      <c r="M236" s="28"/>
    </row>
    <row r="237" spans="1:13" ht="14.25" x14ac:dyDescent="0.45">
      <c r="A237" s="220" t="s">
        <v>932</v>
      </c>
      <c r="B237" s="796"/>
      <c r="C237" s="391">
        <v>35</v>
      </c>
      <c r="D237" s="392"/>
      <c r="E237" s="152"/>
      <c r="F237" s="152">
        <v>392</v>
      </c>
      <c r="G237" s="152">
        <v>392</v>
      </c>
      <c r="H237" s="152">
        <v>392</v>
      </c>
      <c r="I237" s="216">
        <v>392</v>
      </c>
      <c r="J237" s="175"/>
      <c r="K237" s="121" t="s">
        <v>71</v>
      </c>
      <c r="L237" s="118" t="s">
        <v>933</v>
      </c>
      <c r="M237" s="28"/>
    </row>
    <row r="238" spans="1:13" ht="12.75" customHeight="1" x14ac:dyDescent="0.45">
      <c r="A238" s="788"/>
      <c r="B238" s="616"/>
      <c r="C238" s="616"/>
      <c r="D238" s="716"/>
      <c r="E238" s="723"/>
      <c r="F238" s="723"/>
      <c r="G238" s="723"/>
      <c r="H238" s="723"/>
      <c r="I238" s="472"/>
      <c r="J238" s="595"/>
      <c r="K238" s="790"/>
      <c r="L238" s="789"/>
    </row>
    <row r="239" spans="1:13" ht="12.75" customHeight="1" x14ac:dyDescent="0.45">
      <c r="A239" s="221"/>
      <c r="B239" s="391"/>
      <c r="C239" s="391"/>
      <c r="D239" s="392"/>
      <c r="E239" s="152"/>
      <c r="F239" s="152"/>
      <c r="G239" s="152"/>
      <c r="H239" s="152"/>
      <c r="I239" s="216"/>
      <c r="J239" s="595"/>
      <c r="K239" s="121"/>
      <c r="L239" s="118"/>
    </row>
    <row r="240" spans="1:13" ht="12.75" customHeight="1" x14ac:dyDescent="0.45">
      <c r="A240" s="393" t="s">
        <v>438</v>
      </c>
      <c r="B240" s="391"/>
      <c r="C240" s="391"/>
      <c r="D240" s="394"/>
      <c r="E240" s="152"/>
      <c r="F240" s="152"/>
      <c r="G240" s="152"/>
      <c r="H240" s="152"/>
      <c r="I240" s="216"/>
      <c r="K240" s="30"/>
      <c r="L240" s="118"/>
    </row>
    <row r="241" spans="1:12" ht="12.75" customHeight="1" x14ac:dyDescent="0.45">
      <c r="A241" s="221" t="s">
        <v>479</v>
      </c>
      <c r="B241" s="391"/>
      <c r="C241" s="391">
        <v>38</v>
      </c>
      <c r="D241" s="392"/>
      <c r="E241" s="152"/>
      <c r="F241" s="152">
        <v>-65</v>
      </c>
      <c r="G241" s="152">
        <v>-65</v>
      </c>
      <c r="H241" s="152">
        <v>-65</v>
      </c>
      <c r="I241" s="216">
        <v>-65</v>
      </c>
      <c r="J241" s="595"/>
      <c r="K241" s="121" t="s">
        <v>71</v>
      </c>
      <c r="L241" s="118" t="s">
        <v>480</v>
      </c>
    </row>
    <row r="242" spans="1:12" ht="12.75" customHeight="1" x14ac:dyDescent="0.45">
      <c r="A242" s="221" t="s">
        <v>485</v>
      </c>
      <c r="B242" s="391"/>
      <c r="C242" s="391">
        <v>38</v>
      </c>
      <c r="D242" s="394"/>
      <c r="E242" s="152"/>
      <c r="F242" s="152">
        <v>-3</v>
      </c>
      <c r="G242" s="152">
        <v>-3</v>
      </c>
      <c r="H242" s="152">
        <v>-3</v>
      </c>
      <c r="I242" s="216">
        <v>-3</v>
      </c>
      <c r="K242" s="30" t="s">
        <v>71</v>
      </c>
      <c r="L242" s="118" t="s">
        <v>486</v>
      </c>
    </row>
    <row r="243" spans="1:12" ht="12.75" customHeight="1" x14ac:dyDescent="0.45">
      <c r="A243" s="221" t="s">
        <v>579</v>
      </c>
      <c r="B243" s="391"/>
      <c r="C243" s="391">
        <v>38</v>
      </c>
      <c r="D243" s="394"/>
      <c r="E243" s="152"/>
      <c r="F243" s="152">
        <v>-7</v>
      </c>
      <c r="G243" s="152">
        <v>-7</v>
      </c>
      <c r="H243" s="152">
        <v>-7</v>
      </c>
      <c r="I243" s="216">
        <v>-7</v>
      </c>
      <c r="K243" s="30" t="s">
        <v>71</v>
      </c>
      <c r="L243" s="118" t="s">
        <v>580</v>
      </c>
    </row>
    <row r="244" spans="1:12" ht="12.75" customHeight="1" x14ac:dyDescent="0.45">
      <c r="A244" s="221" t="s">
        <v>612</v>
      </c>
      <c r="B244" s="391"/>
      <c r="C244" s="391">
        <v>38</v>
      </c>
      <c r="D244" s="392"/>
      <c r="E244" s="152"/>
      <c r="F244" s="152">
        <v>-17</v>
      </c>
      <c r="G244" s="152">
        <v>-15</v>
      </c>
      <c r="H244" s="152"/>
      <c r="I244" s="216"/>
      <c r="J244" s="178"/>
      <c r="K244" s="121" t="s">
        <v>71</v>
      </c>
      <c r="L244" s="118" t="s">
        <v>610</v>
      </c>
    </row>
    <row r="245" spans="1:12" ht="12.75" customHeight="1" x14ac:dyDescent="0.45">
      <c r="A245" s="221" t="s">
        <v>646</v>
      </c>
      <c r="B245" s="391"/>
      <c r="C245" s="391">
        <v>38</v>
      </c>
      <c r="D245" s="392"/>
      <c r="E245" s="152"/>
      <c r="F245" s="152"/>
      <c r="G245" s="152"/>
      <c r="H245" s="152"/>
      <c r="I245" s="216"/>
      <c r="J245" s="178"/>
      <c r="K245" s="121" t="s">
        <v>71</v>
      </c>
      <c r="L245" s="118" t="s">
        <v>774</v>
      </c>
    </row>
    <row r="246" spans="1:12" ht="12.75" customHeight="1" x14ac:dyDescent="0.45">
      <c r="A246" s="221" t="s">
        <v>656</v>
      </c>
      <c r="B246" s="391"/>
      <c r="C246" s="391">
        <v>38</v>
      </c>
      <c r="D246" s="392"/>
      <c r="E246" s="152"/>
      <c r="F246" s="152">
        <v>-8</v>
      </c>
      <c r="G246" s="152">
        <v>-10</v>
      </c>
      <c r="H246" s="152">
        <v>-10</v>
      </c>
      <c r="I246" s="216">
        <v>-10</v>
      </c>
      <c r="J246" s="178"/>
      <c r="K246" s="121" t="s">
        <v>71</v>
      </c>
      <c r="L246" s="118" t="s">
        <v>765</v>
      </c>
    </row>
    <row r="247" spans="1:12" ht="12.75" customHeight="1" x14ac:dyDescent="0.45">
      <c r="A247" s="221" t="s">
        <v>769</v>
      </c>
      <c r="B247" s="391"/>
      <c r="C247" s="391">
        <v>38</v>
      </c>
      <c r="D247" s="392"/>
      <c r="E247" s="152"/>
      <c r="F247" s="152">
        <v>-286</v>
      </c>
      <c r="G247" s="152">
        <v>-286</v>
      </c>
      <c r="H247" s="152">
        <v>-286</v>
      </c>
      <c r="I247" s="216">
        <v>-286</v>
      </c>
      <c r="J247" s="178"/>
      <c r="K247" s="121" t="s">
        <v>71</v>
      </c>
      <c r="L247" s="118" t="s">
        <v>770</v>
      </c>
    </row>
    <row r="248" spans="1:12" ht="12.75" customHeight="1" x14ac:dyDescent="0.45">
      <c r="A248" s="221" t="s">
        <v>777</v>
      </c>
      <c r="B248" s="391"/>
      <c r="C248" s="391">
        <v>38</v>
      </c>
      <c r="D248" s="392"/>
      <c r="E248" s="152"/>
      <c r="F248" s="152">
        <v>340</v>
      </c>
      <c r="G248" s="152">
        <v>451</v>
      </c>
      <c r="H248" s="152">
        <v>451</v>
      </c>
      <c r="I248" s="216">
        <v>451</v>
      </c>
      <c r="J248" s="118"/>
      <c r="K248" s="121" t="s">
        <v>71</v>
      </c>
      <c r="L248" s="118" t="s">
        <v>778</v>
      </c>
    </row>
    <row r="249" spans="1:12" ht="12.75" customHeight="1" x14ac:dyDescent="0.45">
      <c r="A249" s="221" t="s">
        <v>789</v>
      </c>
      <c r="B249" s="391"/>
      <c r="C249" s="391">
        <v>38</v>
      </c>
      <c r="D249" s="392"/>
      <c r="E249" s="152"/>
      <c r="F249" s="152">
        <v>0</v>
      </c>
      <c r="G249" s="152">
        <v>0</v>
      </c>
      <c r="H249" s="152">
        <v>-1</v>
      </c>
      <c r="I249" s="216">
        <v>-1</v>
      </c>
      <c r="J249" s="118"/>
      <c r="K249" s="121" t="s">
        <v>71</v>
      </c>
      <c r="L249" s="118" t="s">
        <v>790</v>
      </c>
    </row>
    <row r="250" spans="1:12" ht="12.75" customHeight="1" x14ac:dyDescent="0.45">
      <c r="A250" s="221" t="s">
        <v>793</v>
      </c>
      <c r="B250" s="391"/>
      <c r="C250" s="391">
        <v>38</v>
      </c>
      <c r="D250" s="392"/>
      <c r="E250" s="152"/>
      <c r="F250" s="152">
        <v>-2</v>
      </c>
      <c r="G250" s="152">
        <v>-2</v>
      </c>
      <c r="H250" s="152">
        <v>-2</v>
      </c>
      <c r="I250" s="216">
        <v>-2</v>
      </c>
      <c r="J250" s="118"/>
      <c r="K250" s="121" t="s">
        <v>71</v>
      </c>
      <c r="L250" s="118" t="s">
        <v>792</v>
      </c>
    </row>
    <row r="251" spans="1:12" ht="12.75" customHeight="1" x14ac:dyDescent="0.45">
      <c r="A251" s="221" t="s">
        <v>869</v>
      </c>
      <c r="B251" s="391"/>
      <c r="C251" s="391">
        <v>38</v>
      </c>
      <c r="D251" s="392"/>
      <c r="E251" s="152"/>
      <c r="F251" s="152">
        <v>-1846</v>
      </c>
      <c r="G251" s="152">
        <v>-1872</v>
      </c>
      <c r="H251" s="152">
        <v>-1888</v>
      </c>
      <c r="I251" s="216">
        <v>-1888</v>
      </c>
      <c r="J251" s="118"/>
      <c r="K251" s="121" t="s">
        <v>71</v>
      </c>
      <c r="L251" s="118" t="s">
        <v>941</v>
      </c>
    </row>
    <row r="252" spans="1:12" ht="12.75" customHeight="1" x14ac:dyDescent="0.45">
      <c r="A252" s="221" t="s">
        <v>863</v>
      </c>
      <c r="B252" s="391"/>
      <c r="C252" s="391">
        <v>38</v>
      </c>
      <c r="D252" s="392"/>
      <c r="E252" s="152"/>
      <c r="F252" s="152">
        <v>-2429</v>
      </c>
      <c r="G252" s="152">
        <v>-2430</v>
      </c>
      <c r="H252" s="152">
        <v>-2430</v>
      </c>
      <c r="I252" s="216">
        <v>-2430</v>
      </c>
      <c r="J252" s="118"/>
      <c r="K252" s="121" t="s">
        <v>71</v>
      </c>
      <c r="L252" s="118" t="s">
        <v>862</v>
      </c>
    </row>
    <row r="253" spans="1:12" ht="12.75" customHeight="1" x14ac:dyDescent="0.45">
      <c r="A253" s="221" t="s">
        <v>877</v>
      </c>
      <c r="B253" s="391"/>
      <c r="C253" s="391">
        <v>38</v>
      </c>
      <c r="D253" s="392"/>
      <c r="E253" s="152"/>
      <c r="F253" s="152">
        <v>-33</v>
      </c>
      <c r="G253" s="152">
        <v>-84</v>
      </c>
      <c r="H253" s="152">
        <v>-83</v>
      </c>
      <c r="I253" s="216">
        <v>-83</v>
      </c>
      <c r="J253" s="118"/>
      <c r="K253" s="121" t="s">
        <v>71</v>
      </c>
      <c r="L253" s="118" t="s">
        <v>876</v>
      </c>
    </row>
    <row r="254" spans="1:12" ht="12.75" customHeight="1" x14ac:dyDescent="0.45">
      <c r="A254" s="221" t="s">
        <v>878</v>
      </c>
      <c r="B254" s="391"/>
      <c r="C254" s="391">
        <v>38</v>
      </c>
      <c r="D254" s="392"/>
      <c r="E254" s="152"/>
      <c r="F254" s="152">
        <v>-127</v>
      </c>
      <c r="G254" s="152"/>
      <c r="H254" s="152"/>
      <c r="I254" s="216"/>
      <c r="J254" s="118"/>
      <c r="K254" s="121" t="s">
        <v>71</v>
      </c>
      <c r="L254" s="118" t="s">
        <v>879</v>
      </c>
    </row>
    <row r="255" spans="1:12" ht="12.75" customHeight="1" x14ac:dyDescent="0.45">
      <c r="A255" s="221" t="s">
        <v>896</v>
      </c>
      <c r="B255" s="616"/>
      <c r="C255" s="391">
        <v>38</v>
      </c>
      <c r="D255" s="392"/>
      <c r="E255" s="152"/>
      <c r="F255" s="152">
        <v>70</v>
      </c>
      <c r="G255" s="152">
        <v>70</v>
      </c>
      <c r="H255" s="152">
        <v>70</v>
      </c>
      <c r="I255" s="216">
        <v>70</v>
      </c>
      <c r="J255" s="789"/>
      <c r="K255" s="121" t="s">
        <v>71</v>
      </c>
      <c r="L255" s="118" t="s">
        <v>917</v>
      </c>
    </row>
    <row r="256" spans="1:12" ht="12.75" customHeight="1" x14ac:dyDescent="0.45">
      <c r="A256" s="221" t="s">
        <v>951</v>
      </c>
      <c r="B256" s="391"/>
      <c r="C256" s="391">
        <v>38</v>
      </c>
      <c r="D256" s="392"/>
      <c r="E256" s="152"/>
      <c r="F256" s="152">
        <f>-410-96</f>
        <v>-506</v>
      </c>
      <c r="G256" s="152">
        <v>-64</v>
      </c>
      <c r="H256" s="152"/>
      <c r="I256" s="216"/>
      <c r="J256" s="118"/>
      <c r="K256" s="121" t="s">
        <v>71</v>
      </c>
      <c r="L256" s="118" t="s">
        <v>950</v>
      </c>
    </row>
    <row r="257" spans="1:15" ht="12.75" customHeight="1" x14ac:dyDescent="0.45">
      <c r="A257" s="221"/>
      <c r="B257" s="391"/>
      <c r="C257" s="391"/>
      <c r="D257" s="392"/>
      <c r="E257" s="152"/>
      <c r="F257" s="152"/>
      <c r="G257" s="152"/>
      <c r="H257" s="152"/>
      <c r="I257" s="216"/>
      <c r="J257" s="118"/>
      <c r="K257" s="121"/>
      <c r="L257" s="118"/>
    </row>
    <row r="258" spans="1:15" ht="12.75" customHeight="1" x14ac:dyDescent="0.45">
      <c r="A258" s="393" t="s">
        <v>53</v>
      </c>
      <c r="B258" s="391"/>
      <c r="C258" s="391"/>
      <c r="D258" s="392"/>
      <c r="E258" s="152"/>
      <c r="F258" s="460"/>
      <c r="G258" s="460"/>
      <c r="H258" s="460"/>
      <c r="I258" s="216"/>
      <c r="J258" s="118"/>
      <c r="K258" s="121"/>
      <c r="L258" s="118"/>
    </row>
    <row r="259" spans="1:15" ht="12.75" customHeight="1" x14ac:dyDescent="0.45">
      <c r="A259" s="221" t="s">
        <v>426</v>
      </c>
      <c r="B259" s="391"/>
      <c r="C259" s="391">
        <v>41</v>
      </c>
      <c r="D259" s="392"/>
      <c r="E259" s="152"/>
      <c r="F259" s="152">
        <v>0</v>
      </c>
      <c r="G259" s="152">
        <v>0</v>
      </c>
      <c r="H259" s="152">
        <v>0</v>
      </c>
      <c r="I259" s="216">
        <v>619</v>
      </c>
      <c r="J259" s="595"/>
      <c r="K259" s="121" t="s">
        <v>71</v>
      </c>
      <c r="L259" s="118" t="s">
        <v>428</v>
      </c>
      <c r="O259" s="105">
        <f>SUM(I259:I261)</f>
        <v>1695</v>
      </c>
    </row>
    <row r="260" spans="1:15" ht="12.75" customHeight="1" x14ac:dyDescent="0.45">
      <c r="A260" s="221" t="s">
        <v>427</v>
      </c>
      <c r="B260" s="391"/>
      <c r="C260" s="391">
        <v>41</v>
      </c>
      <c r="D260" s="392"/>
      <c r="E260" s="152"/>
      <c r="F260" s="152">
        <v>0</v>
      </c>
      <c r="G260" s="152">
        <v>0</v>
      </c>
      <c r="H260" s="152">
        <v>0</v>
      </c>
      <c r="I260" s="216">
        <v>260</v>
      </c>
      <c r="J260" s="175"/>
      <c r="K260" s="121" t="s">
        <v>71</v>
      </c>
      <c r="L260" s="118" t="s">
        <v>428</v>
      </c>
    </row>
    <row r="261" spans="1:15" ht="12.75" customHeight="1" x14ac:dyDescent="0.45">
      <c r="A261" s="221" t="s">
        <v>479</v>
      </c>
      <c r="B261" s="391"/>
      <c r="C261" s="391">
        <v>41</v>
      </c>
      <c r="D261" s="392"/>
      <c r="E261" s="152"/>
      <c r="F261" s="152">
        <v>812</v>
      </c>
      <c r="G261" s="152">
        <v>813</v>
      </c>
      <c r="H261" s="152">
        <v>813</v>
      </c>
      <c r="I261" s="216">
        <v>816</v>
      </c>
      <c r="J261" s="175"/>
      <c r="K261" s="121" t="s">
        <v>71</v>
      </c>
      <c r="L261" s="118" t="s">
        <v>480</v>
      </c>
    </row>
    <row r="262" spans="1:15" ht="12.75" customHeight="1" x14ac:dyDescent="0.45">
      <c r="A262" s="221" t="s">
        <v>488</v>
      </c>
      <c r="B262" s="391"/>
      <c r="C262" s="391">
        <v>41</v>
      </c>
      <c r="D262" s="392"/>
      <c r="E262" s="152"/>
      <c r="F262" s="152">
        <v>0</v>
      </c>
      <c r="G262" s="152">
        <v>0</v>
      </c>
      <c r="H262" s="152">
        <v>0</v>
      </c>
      <c r="I262" s="216">
        <v>-613</v>
      </c>
      <c r="J262" s="595"/>
      <c r="K262" s="121" t="s">
        <v>71</v>
      </c>
      <c r="L262" s="118" t="s">
        <v>835</v>
      </c>
    </row>
    <row r="263" spans="1:15" ht="12.75" customHeight="1" x14ac:dyDescent="0.45">
      <c r="A263" s="221" t="s">
        <v>488</v>
      </c>
      <c r="B263" s="391"/>
      <c r="C263" s="391">
        <v>41</v>
      </c>
      <c r="D263" s="392"/>
      <c r="E263" s="152"/>
      <c r="F263" s="152">
        <v>0</v>
      </c>
      <c r="G263" s="152">
        <v>0</v>
      </c>
      <c r="H263" s="152">
        <v>0</v>
      </c>
      <c r="I263" s="216">
        <v>-257</v>
      </c>
      <c r="J263" s="175"/>
      <c r="K263" s="121" t="s">
        <v>71</v>
      </c>
      <c r="L263" s="118" t="s">
        <v>835</v>
      </c>
    </row>
    <row r="264" spans="1:15" ht="12.75" customHeight="1" x14ac:dyDescent="0.45">
      <c r="A264" s="221" t="s">
        <v>579</v>
      </c>
      <c r="B264" s="391"/>
      <c r="C264" s="391">
        <v>41</v>
      </c>
      <c r="D264" s="392"/>
      <c r="E264" s="152"/>
      <c r="F264" s="152">
        <v>-143</v>
      </c>
      <c r="G264" s="152">
        <v>-143</v>
      </c>
      <c r="H264" s="152">
        <v>-143</v>
      </c>
      <c r="I264" s="216">
        <v>-143</v>
      </c>
      <c r="J264" s="595"/>
      <c r="K264" s="121" t="s">
        <v>71</v>
      </c>
      <c r="L264" s="118" t="s">
        <v>580</v>
      </c>
      <c r="O264" s="105">
        <f>SUM(I264:I265)</f>
        <v>-143</v>
      </c>
    </row>
    <row r="265" spans="1:15" ht="12" customHeight="1" x14ac:dyDescent="0.45">
      <c r="A265" s="221" t="s">
        <v>817</v>
      </c>
      <c r="B265" s="616" t="s">
        <v>872</v>
      </c>
      <c r="C265" s="391">
        <v>41</v>
      </c>
      <c r="D265" s="392"/>
      <c r="E265" s="152"/>
      <c r="F265" s="152"/>
      <c r="G265" s="152"/>
      <c r="H265" s="152"/>
      <c r="I265" s="216"/>
      <c r="J265" s="175"/>
      <c r="K265" s="121"/>
      <c r="L265" s="118"/>
    </row>
    <row r="266" spans="1:15" ht="12" customHeight="1" x14ac:dyDescent="0.45">
      <c r="A266" s="221" t="s">
        <v>632</v>
      </c>
      <c r="B266" s="391"/>
      <c r="C266" s="391">
        <v>41</v>
      </c>
      <c r="D266" s="392"/>
      <c r="E266" s="152"/>
      <c r="F266" s="152">
        <v>919</v>
      </c>
      <c r="G266" s="152">
        <v>919</v>
      </c>
      <c r="H266" s="152">
        <v>919</v>
      </c>
      <c r="I266" s="216">
        <v>919</v>
      </c>
      <c r="J266" s="595"/>
      <c r="K266" s="121" t="s">
        <v>71</v>
      </c>
      <c r="L266" s="118" t="s">
        <v>835</v>
      </c>
    </row>
    <row r="267" spans="1:15" ht="12" customHeight="1" x14ac:dyDescent="0.45">
      <c r="A267" s="221" t="s">
        <v>633</v>
      </c>
      <c r="B267" s="391"/>
      <c r="C267" s="391">
        <v>41</v>
      </c>
      <c r="D267" s="392"/>
      <c r="E267" s="152"/>
      <c r="F267" s="152">
        <v>-1392</v>
      </c>
      <c r="G267" s="152">
        <v>-1392</v>
      </c>
      <c r="H267" s="152">
        <v>-1392</v>
      </c>
      <c r="I267" s="216">
        <v>-1392</v>
      </c>
      <c r="J267" s="595"/>
      <c r="K267" s="121" t="s">
        <v>71</v>
      </c>
      <c r="L267" s="118" t="s">
        <v>835</v>
      </c>
    </row>
    <row r="268" spans="1:15" ht="12" customHeight="1" x14ac:dyDescent="0.45">
      <c r="A268" s="221" t="s">
        <v>634</v>
      </c>
      <c r="B268" s="391"/>
      <c r="C268" s="391">
        <v>41</v>
      </c>
      <c r="D268" s="392"/>
      <c r="E268" s="152"/>
      <c r="F268" s="152">
        <v>-4304</v>
      </c>
      <c r="G268" s="152">
        <v>-10800</v>
      </c>
      <c r="H268" s="152">
        <v>-11172</v>
      </c>
      <c r="I268" s="216">
        <v>-9962</v>
      </c>
      <c r="J268" s="595"/>
      <c r="K268" s="121" t="s">
        <v>71</v>
      </c>
      <c r="L268" s="118" t="s">
        <v>643</v>
      </c>
    </row>
    <row r="269" spans="1:15" ht="12" customHeight="1" x14ac:dyDescent="0.45">
      <c r="A269" s="221" t="s">
        <v>635</v>
      </c>
      <c r="B269" s="391"/>
      <c r="C269" s="391">
        <v>41</v>
      </c>
      <c r="D269" s="392"/>
      <c r="E269" s="152"/>
      <c r="F269" s="152">
        <v>692</v>
      </c>
      <c r="G269" s="152">
        <v>962</v>
      </c>
      <c r="H269" s="152">
        <v>1036</v>
      </c>
      <c r="I269" s="216">
        <v>582</v>
      </c>
      <c r="J269" s="595"/>
      <c r="K269" s="121" t="s">
        <v>71</v>
      </c>
      <c r="L269" s="118" t="s">
        <v>643</v>
      </c>
    </row>
    <row r="270" spans="1:15" ht="12" customHeight="1" x14ac:dyDescent="0.45">
      <c r="A270" s="221" t="s">
        <v>646</v>
      </c>
      <c r="B270" s="391"/>
      <c r="C270" s="391">
        <v>41</v>
      </c>
      <c r="D270" s="392"/>
      <c r="E270" s="152"/>
      <c r="F270" s="152"/>
      <c r="G270" s="152"/>
      <c r="H270" s="152"/>
      <c r="I270" s="216"/>
      <c r="J270" s="595"/>
      <c r="K270" s="121" t="s">
        <v>71</v>
      </c>
      <c r="L270" s="118" t="s">
        <v>774</v>
      </c>
    </row>
    <row r="271" spans="1:15" ht="12.75" customHeight="1" x14ac:dyDescent="0.45">
      <c r="A271" s="221" t="s">
        <v>769</v>
      </c>
      <c r="B271" s="391"/>
      <c r="C271" s="391">
        <v>41</v>
      </c>
      <c r="D271" s="392"/>
      <c r="E271" s="152"/>
      <c r="F271" s="152">
        <v>-4752</v>
      </c>
      <c r="G271" s="152">
        <v>-4710</v>
      </c>
      <c r="H271" s="152">
        <v>-4662</v>
      </c>
      <c r="I271" s="216">
        <v>-4609</v>
      </c>
      <c r="J271" s="175"/>
      <c r="K271" s="121" t="s">
        <v>71</v>
      </c>
      <c r="L271" s="118" t="s">
        <v>770</v>
      </c>
    </row>
    <row r="272" spans="1:15" ht="12.75" customHeight="1" x14ac:dyDescent="0.45">
      <c r="A272" s="221" t="s">
        <v>777</v>
      </c>
      <c r="B272" s="391"/>
      <c r="C272" s="391">
        <v>41</v>
      </c>
      <c r="D272" s="392"/>
      <c r="E272" s="152"/>
      <c r="F272" s="152">
        <v>6640</v>
      </c>
      <c r="G272" s="152">
        <v>8746</v>
      </c>
      <c r="H272" s="152">
        <v>8746</v>
      </c>
      <c r="I272" s="216">
        <v>8746</v>
      </c>
      <c r="J272" s="175"/>
      <c r="K272" s="121" t="s">
        <v>71</v>
      </c>
      <c r="L272" s="118" t="s">
        <v>778</v>
      </c>
    </row>
    <row r="273" spans="1:15" ht="12.75" customHeight="1" x14ac:dyDescent="0.45">
      <c r="A273" s="221" t="s">
        <v>789</v>
      </c>
      <c r="B273" s="391"/>
      <c r="C273" s="391">
        <v>41</v>
      </c>
      <c r="D273" s="392"/>
      <c r="E273" s="152"/>
      <c r="F273" s="152">
        <f>8+17</f>
        <v>25</v>
      </c>
      <c r="G273" s="152">
        <f>3+14</f>
        <v>17</v>
      </c>
      <c r="H273" s="152">
        <f>7+11</f>
        <v>18</v>
      </c>
      <c r="I273" s="216">
        <f>6+14</f>
        <v>20</v>
      </c>
      <c r="J273" s="175"/>
      <c r="K273" s="121" t="s">
        <v>71</v>
      </c>
      <c r="L273" s="118" t="s">
        <v>790</v>
      </c>
    </row>
    <row r="274" spans="1:15" ht="12.75" customHeight="1" x14ac:dyDescent="0.45">
      <c r="A274" s="221" t="s">
        <v>793</v>
      </c>
      <c r="B274" s="391"/>
      <c r="C274" s="391">
        <v>41</v>
      </c>
      <c r="D274" s="392"/>
      <c r="E274" s="152"/>
      <c r="F274" s="152">
        <v>-62</v>
      </c>
      <c r="G274" s="152">
        <v>-62</v>
      </c>
      <c r="H274" s="152">
        <v>-62</v>
      </c>
      <c r="I274" s="216">
        <v>-62</v>
      </c>
      <c r="J274" s="118"/>
      <c r="K274" s="121" t="s">
        <v>71</v>
      </c>
      <c r="L274" s="118" t="s">
        <v>792</v>
      </c>
      <c r="O274" s="105">
        <f>SUM(I268:I274)</f>
        <v>-5285</v>
      </c>
    </row>
    <row r="275" spans="1:15" ht="12.75" customHeight="1" x14ac:dyDescent="0.45">
      <c r="A275" s="822" t="s">
        <v>943</v>
      </c>
      <c r="B275" s="823"/>
      <c r="C275" s="823">
        <v>41</v>
      </c>
      <c r="D275" s="824"/>
      <c r="E275" s="825"/>
      <c r="F275" s="825">
        <v>16709</v>
      </c>
      <c r="G275" s="825">
        <v>16709</v>
      </c>
      <c r="H275" s="825">
        <v>16709</v>
      </c>
      <c r="I275" s="826">
        <v>16709</v>
      </c>
      <c r="J275" s="118"/>
      <c r="K275" s="121" t="s">
        <v>71</v>
      </c>
      <c r="L275" s="118" t="s">
        <v>942</v>
      </c>
    </row>
    <row r="276" spans="1:15" ht="12.75" customHeight="1" x14ac:dyDescent="0.45">
      <c r="A276" s="788" t="s">
        <v>807</v>
      </c>
      <c r="B276" s="616"/>
      <c r="C276" s="616">
        <v>41</v>
      </c>
      <c r="D276" s="716"/>
      <c r="E276" s="723"/>
      <c r="F276" s="723">
        <v>-34</v>
      </c>
      <c r="G276" s="723">
        <v>-34</v>
      </c>
      <c r="H276" s="723">
        <v>-34</v>
      </c>
      <c r="I276" s="472">
        <v>-34</v>
      </c>
      <c r="J276" s="789"/>
      <c r="K276" s="790"/>
      <c r="L276" s="789" t="s">
        <v>804</v>
      </c>
    </row>
    <row r="277" spans="1:15" ht="12.75" customHeight="1" x14ac:dyDescent="0.45">
      <c r="A277" s="391" t="s">
        <v>953</v>
      </c>
      <c r="B277" s="616"/>
      <c r="C277" s="391">
        <v>41</v>
      </c>
      <c r="D277" s="392"/>
      <c r="E277" s="152"/>
      <c r="F277" s="152">
        <v>812</v>
      </c>
      <c r="G277" s="152">
        <v>406</v>
      </c>
      <c r="H277" s="152">
        <v>0</v>
      </c>
      <c r="I277" s="216">
        <v>0</v>
      </c>
      <c r="J277" s="118"/>
      <c r="K277" s="121" t="s">
        <v>71</v>
      </c>
      <c r="L277" s="118" t="s">
        <v>954</v>
      </c>
    </row>
    <row r="278" spans="1:15" ht="12.75" customHeight="1" x14ac:dyDescent="0.45">
      <c r="A278" s="391"/>
      <c r="B278" s="616"/>
      <c r="C278" s="616"/>
      <c r="D278" s="716"/>
      <c r="E278" s="723"/>
      <c r="F278" s="723"/>
      <c r="G278" s="723"/>
      <c r="H278" s="723"/>
      <c r="I278" s="472"/>
      <c r="J278" s="789"/>
      <c r="K278" s="790"/>
      <c r="L278" s="789"/>
    </row>
    <row r="279" spans="1:15" ht="12.75" customHeight="1" x14ac:dyDescent="0.45">
      <c r="A279" s="28"/>
      <c r="B279" s="391"/>
      <c r="C279" s="616"/>
      <c r="D279" s="392"/>
      <c r="E279" s="152"/>
      <c r="F279" s="723"/>
      <c r="G279" s="723"/>
      <c r="H279" s="723"/>
      <c r="I279" s="472"/>
      <c r="J279" s="118"/>
      <c r="K279" s="121"/>
      <c r="L279" s="789"/>
    </row>
    <row r="280" spans="1:15" ht="12.75" customHeight="1" x14ac:dyDescent="0.45">
      <c r="A280" s="221"/>
      <c r="B280" s="391"/>
      <c r="C280" s="391"/>
      <c r="D280" s="392"/>
      <c r="E280" s="152"/>
      <c r="F280" s="152"/>
      <c r="G280" s="152"/>
      <c r="H280" s="152"/>
      <c r="I280" s="216"/>
      <c r="J280" s="118"/>
      <c r="K280" s="121"/>
      <c r="L280" s="118"/>
    </row>
    <row r="281" spans="1:15" ht="12.75" customHeight="1" x14ac:dyDescent="0.45">
      <c r="A281" s="393" t="s">
        <v>454</v>
      </c>
      <c r="B281" s="391"/>
      <c r="C281" s="391"/>
      <c r="D281" s="392"/>
      <c r="E281" s="152"/>
      <c r="F281" s="460"/>
      <c r="G281" s="460"/>
      <c r="H281" s="460"/>
      <c r="I281" s="461"/>
      <c r="J281" s="118"/>
      <c r="K281" s="121"/>
      <c r="L281" s="118"/>
    </row>
    <row r="282" spans="1:15" ht="12.75" customHeight="1" x14ac:dyDescent="0.45">
      <c r="A282" s="221" t="s">
        <v>483</v>
      </c>
      <c r="B282" s="391"/>
      <c r="C282" s="391">
        <v>42</v>
      </c>
      <c r="D282" s="392"/>
      <c r="E282" s="152"/>
      <c r="F282" s="152">
        <v>9</v>
      </c>
      <c r="G282" s="152">
        <v>9</v>
      </c>
      <c r="H282" s="152">
        <v>9</v>
      </c>
      <c r="I282" s="216">
        <v>9</v>
      </c>
      <c r="J282" s="118"/>
      <c r="K282" s="121" t="s">
        <v>71</v>
      </c>
      <c r="L282" s="118" t="s">
        <v>487</v>
      </c>
    </row>
    <row r="283" spans="1:15" ht="12.75" customHeight="1" x14ac:dyDescent="0.45">
      <c r="A283" s="221" t="s">
        <v>408</v>
      </c>
      <c r="B283" s="391"/>
      <c r="C283" s="391">
        <v>42</v>
      </c>
      <c r="D283" s="392"/>
      <c r="E283" s="152"/>
      <c r="F283" s="152">
        <v>-56</v>
      </c>
      <c r="G283" s="152">
        <v>-51</v>
      </c>
      <c r="H283" s="152">
        <v>-51</v>
      </c>
      <c r="I283" s="216">
        <v>-190</v>
      </c>
      <c r="J283" s="118"/>
      <c r="K283" s="121" t="s">
        <v>71</v>
      </c>
      <c r="L283" s="118" t="s">
        <v>409</v>
      </c>
    </row>
    <row r="284" spans="1:15" ht="12.75" customHeight="1" x14ac:dyDescent="0.45">
      <c r="A284" s="221" t="s">
        <v>467</v>
      </c>
      <c r="B284" s="391"/>
      <c r="C284" s="391">
        <v>42</v>
      </c>
      <c r="D284" s="392"/>
      <c r="E284" s="152"/>
      <c r="F284" s="152">
        <v>11</v>
      </c>
      <c r="G284" s="152">
        <v>11</v>
      </c>
      <c r="H284" s="152">
        <v>11</v>
      </c>
      <c r="I284" s="216">
        <v>11</v>
      </c>
      <c r="J284" s="118"/>
      <c r="K284" s="121" t="s">
        <v>71</v>
      </c>
      <c r="L284" s="118" t="s">
        <v>466</v>
      </c>
    </row>
    <row r="285" spans="1:15" ht="12.75" customHeight="1" x14ac:dyDescent="0.45">
      <c r="A285" s="221" t="s">
        <v>477</v>
      </c>
      <c r="B285" s="391"/>
      <c r="C285" s="391">
        <v>42</v>
      </c>
      <c r="D285" s="392"/>
      <c r="E285" s="152"/>
      <c r="F285" s="152">
        <v>-6</v>
      </c>
      <c r="G285" s="152">
        <v>-6</v>
      </c>
      <c r="H285" s="152">
        <v>-6</v>
      </c>
      <c r="I285" s="216">
        <v>-6</v>
      </c>
      <c r="J285" s="118"/>
      <c r="K285" s="121" t="s">
        <v>71</v>
      </c>
      <c r="L285" s="118" t="s">
        <v>478</v>
      </c>
    </row>
    <row r="286" spans="1:15" ht="12.75" customHeight="1" x14ac:dyDescent="0.45">
      <c r="A286" s="221" t="s">
        <v>479</v>
      </c>
      <c r="B286" s="391"/>
      <c r="C286" s="391">
        <v>42</v>
      </c>
      <c r="D286" s="392"/>
      <c r="E286" s="152"/>
      <c r="F286" s="152">
        <v>133</v>
      </c>
      <c r="G286" s="152">
        <v>158</v>
      </c>
      <c r="H286" s="152">
        <v>181</v>
      </c>
      <c r="I286" s="216">
        <v>180</v>
      </c>
      <c r="J286" s="118"/>
      <c r="K286" s="121" t="s">
        <v>71</v>
      </c>
      <c r="L286" s="118" t="s">
        <v>480</v>
      </c>
    </row>
    <row r="287" spans="1:15" ht="12.75" customHeight="1" x14ac:dyDescent="0.45">
      <c r="A287" s="221" t="s">
        <v>579</v>
      </c>
      <c r="B287" s="391"/>
      <c r="C287" s="391">
        <v>42</v>
      </c>
      <c r="D287" s="392"/>
      <c r="E287" s="152"/>
      <c r="F287" s="152">
        <v>-208</v>
      </c>
      <c r="G287" s="152">
        <v>-211</v>
      </c>
      <c r="H287" s="152">
        <v>-214</v>
      </c>
      <c r="I287" s="216">
        <v>-214</v>
      </c>
      <c r="J287" s="118"/>
      <c r="K287" s="121" t="s">
        <v>71</v>
      </c>
      <c r="L287" s="118" t="s">
        <v>580</v>
      </c>
    </row>
    <row r="288" spans="1:15" ht="12.75" customHeight="1" x14ac:dyDescent="0.45">
      <c r="A288" s="221" t="s">
        <v>627</v>
      </c>
      <c r="B288" s="391"/>
      <c r="C288" s="391">
        <v>42</v>
      </c>
      <c r="D288" s="392"/>
      <c r="E288" s="152"/>
      <c r="F288" s="152">
        <v>674</v>
      </c>
      <c r="G288" s="152">
        <v>674</v>
      </c>
      <c r="H288" s="152">
        <v>674</v>
      </c>
      <c r="I288" s="216">
        <v>674</v>
      </c>
      <c r="J288" s="175"/>
      <c r="K288" s="121" t="s">
        <v>71</v>
      </c>
      <c r="L288" s="118" t="s">
        <v>628</v>
      </c>
    </row>
    <row r="289" spans="1:16" ht="12.75" customHeight="1" x14ac:dyDescent="0.45">
      <c r="A289" s="221" t="s">
        <v>646</v>
      </c>
      <c r="B289" s="391"/>
      <c r="C289" s="391">
        <v>42</v>
      </c>
      <c r="D289" s="392"/>
      <c r="E289" s="152"/>
      <c r="F289" s="152"/>
      <c r="G289" s="152"/>
      <c r="H289" s="152"/>
      <c r="I289" s="216"/>
      <c r="J289" s="595"/>
      <c r="K289" s="121" t="s">
        <v>71</v>
      </c>
      <c r="L289" s="118" t="s">
        <v>774</v>
      </c>
    </row>
    <row r="290" spans="1:16" ht="12.75" customHeight="1" x14ac:dyDescent="0.45">
      <c r="A290" s="221" t="s">
        <v>656</v>
      </c>
      <c r="B290" s="391"/>
      <c r="C290" s="391">
        <v>42</v>
      </c>
      <c r="D290" s="392"/>
      <c r="E290" s="152"/>
      <c r="F290" s="152">
        <v>127</v>
      </c>
      <c r="G290" s="152">
        <v>135</v>
      </c>
      <c r="H290" s="152">
        <v>135</v>
      </c>
      <c r="I290" s="216">
        <v>135</v>
      </c>
      <c r="J290" s="595"/>
      <c r="K290" s="121" t="s">
        <v>71</v>
      </c>
      <c r="L290" s="118" t="s">
        <v>655</v>
      </c>
    </row>
    <row r="291" spans="1:16" ht="14.25" x14ac:dyDescent="0.45">
      <c r="A291" s="221" t="s">
        <v>769</v>
      </c>
      <c r="B291" s="391"/>
      <c r="C291" s="391">
        <v>42</v>
      </c>
      <c r="D291" s="392"/>
      <c r="E291" s="152"/>
      <c r="F291" s="152">
        <v>-7699</v>
      </c>
      <c r="G291" s="152">
        <v>-7803</v>
      </c>
      <c r="H291" s="152">
        <v>-7882</v>
      </c>
      <c r="I291" s="216">
        <v>-7869</v>
      </c>
      <c r="J291" s="595"/>
      <c r="K291" s="121" t="s">
        <v>71</v>
      </c>
      <c r="L291" s="118" t="s">
        <v>770</v>
      </c>
      <c r="M291" s="105"/>
      <c r="N291" s="105"/>
      <c r="O291" s="105"/>
      <c r="P291" s="105"/>
    </row>
    <row r="292" spans="1:16" ht="12.75" customHeight="1" x14ac:dyDescent="0.45">
      <c r="A292" s="221" t="s">
        <v>777</v>
      </c>
      <c r="B292" s="391"/>
      <c r="C292" s="391">
        <v>42</v>
      </c>
      <c r="D292" s="392"/>
      <c r="E292" s="152"/>
      <c r="F292" s="152">
        <v>9570</v>
      </c>
      <c r="G292" s="152">
        <v>12708</v>
      </c>
      <c r="H292" s="152">
        <v>12708</v>
      </c>
      <c r="I292" s="216">
        <v>12708</v>
      </c>
      <c r="J292" s="595"/>
      <c r="K292" s="121" t="s">
        <v>71</v>
      </c>
      <c r="L292" s="118" t="s">
        <v>778</v>
      </c>
    </row>
    <row r="293" spans="1:16" ht="12.75" customHeight="1" x14ac:dyDescent="0.45">
      <c r="A293" s="221" t="s">
        <v>782</v>
      </c>
      <c r="B293" s="391"/>
      <c r="C293" s="391">
        <v>42</v>
      </c>
      <c r="D293" s="392"/>
      <c r="E293" s="152"/>
      <c r="F293" s="152">
        <v>-1892</v>
      </c>
      <c r="G293" s="152">
        <v>-1892</v>
      </c>
      <c r="H293" s="152">
        <v>-1892</v>
      </c>
      <c r="I293" s="216">
        <v>-1892</v>
      </c>
      <c r="J293" s="595"/>
      <c r="K293" s="121" t="s">
        <v>71</v>
      </c>
      <c r="L293" s="118" t="s">
        <v>786</v>
      </c>
    </row>
    <row r="294" spans="1:16" ht="12.75" customHeight="1" x14ac:dyDescent="0.45">
      <c r="A294" s="221" t="s">
        <v>783</v>
      </c>
      <c r="B294" s="391"/>
      <c r="C294" s="391">
        <v>42</v>
      </c>
      <c r="D294" s="392"/>
      <c r="E294" s="152"/>
      <c r="F294" s="152">
        <v>-159</v>
      </c>
      <c r="G294" s="152">
        <v>-159</v>
      </c>
      <c r="H294" s="152">
        <v>-159</v>
      </c>
      <c r="I294" s="216">
        <v>-159</v>
      </c>
      <c r="J294" s="595"/>
      <c r="K294" s="121" t="s">
        <v>71</v>
      </c>
      <c r="L294" s="118" t="s">
        <v>786</v>
      </c>
    </row>
    <row r="295" spans="1:16" ht="12.75" customHeight="1" x14ac:dyDescent="0.45">
      <c r="A295" s="221" t="s">
        <v>784</v>
      </c>
      <c r="B295" s="391"/>
      <c r="C295" s="391">
        <v>42</v>
      </c>
      <c r="D295" s="392"/>
      <c r="E295" s="152"/>
      <c r="F295" s="152">
        <v>384</v>
      </c>
      <c r="G295" s="152">
        <v>384</v>
      </c>
      <c r="H295" s="152">
        <v>384</v>
      </c>
      <c r="I295" s="216">
        <v>384</v>
      </c>
      <c r="J295" s="595"/>
      <c r="K295" s="121" t="s">
        <v>71</v>
      </c>
      <c r="L295" s="118" t="s">
        <v>786</v>
      </c>
    </row>
    <row r="296" spans="1:16" ht="12.75" customHeight="1" x14ac:dyDescent="0.45">
      <c r="A296" s="221" t="s">
        <v>785</v>
      </c>
      <c r="B296" s="391"/>
      <c r="C296" s="391">
        <v>42</v>
      </c>
      <c r="D296" s="392"/>
      <c r="E296" s="152"/>
      <c r="F296" s="152">
        <v>1210</v>
      </c>
      <c r="G296" s="152">
        <v>-1512</v>
      </c>
      <c r="H296" s="152">
        <v>-3341</v>
      </c>
      <c r="I296" s="216">
        <v>1089</v>
      </c>
      <c r="J296" s="595"/>
      <c r="K296" s="121" t="s">
        <v>71</v>
      </c>
      <c r="L296" s="118" t="s">
        <v>786</v>
      </c>
      <c r="M296" s="105"/>
    </row>
    <row r="297" spans="1:16" ht="12.75" customHeight="1" x14ac:dyDescent="0.45">
      <c r="A297" s="221" t="s">
        <v>859</v>
      </c>
      <c r="B297" s="391"/>
      <c r="C297" s="391">
        <v>42</v>
      </c>
      <c r="D297" s="392"/>
      <c r="E297" s="152"/>
      <c r="F297" s="152">
        <v>-48</v>
      </c>
      <c r="G297" s="152">
        <v>22</v>
      </c>
      <c r="H297" s="152">
        <v>-339</v>
      </c>
      <c r="I297" s="216">
        <v>-812</v>
      </c>
      <c r="J297" s="595"/>
      <c r="K297" s="121" t="s">
        <v>71</v>
      </c>
      <c r="L297" s="813" t="s">
        <v>860</v>
      </c>
      <c r="M297" s="105"/>
    </row>
    <row r="298" spans="1:16" ht="12.75" customHeight="1" x14ac:dyDescent="0.45">
      <c r="A298" s="221" t="s">
        <v>798</v>
      </c>
      <c r="B298" s="391"/>
      <c r="C298" s="391">
        <v>42</v>
      </c>
      <c r="D298" s="392"/>
      <c r="E298" s="152"/>
      <c r="F298" s="152">
        <v>-1991</v>
      </c>
      <c r="G298" s="152">
        <v>-1824</v>
      </c>
      <c r="H298" s="152">
        <v>-1757</v>
      </c>
      <c r="I298" s="216">
        <v>-1572</v>
      </c>
      <c r="J298" s="595"/>
      <c r="K298" s="121" t="s">
        <v>71</v>
      </c>
      <c r="L298" s="118" t="s">
        <v>786</v>
      </c>
      <c r="M298" s="105"/>
    </row>
    <row r="299" spans="1:16" ht="12.75" customHeight="1" x14ac:dyDescent="0.45">
      <c r="A299" s="221" t="s">
        <v>789</v>
      </c>
      <c r="B299" s="391"/>
      <c r="C299" s="391">
        <v>42</v>
      </c>
      <c r="D299" s="392"/>
      <c r="E299" s="152"/>
      <c r="F299" s="152">
        <f>-2+8</f>
        <v>6</v>
      </c>
      <c r="G299" s="152">
        <f>-18+16</f>
        <v>-2</v>
      </c>
      <c r="H299" s="152">
        <f>-10+15</f>
        <v>5</v>
      </c>
      <c r="I299" s="216">
        <f>-10+16</f>
        <v>6</v>
      </c>
      <c r="J299" s="595"/>
      <c r="K299" s="121" t="s">
        <v>71</v>
      </c>
      <c r="L299" s="118" t="s">
        <v>790</v>
      </c>
      <c r="M299" s="105"/>
    </row>
    <row r="300" spans="1:16" ht="12.75" customHeight="1" x14ac:dyDescent="0.45">
      <c r="A300" s="221" t="s">
        <v>793</v>
      </c>
      <c r="B300" s="391"/>
      <c r="C300" s="391">
        <v>42</v>
      </c>
      <c r="D300" s="392"/>
      <c r="E300" s="152"/>
      <c r="F300" s="152">
        <v>-97</v>
      </c>
      <c r="G300" s="152">
        <v>-97</v>
      </c>
      <c r="H300" s="152">
        <v>-97</v>
      </c>
      <c r="I300" s="216">
        <v>-97</v>
      </c>
      <c r="J300" s="118"/>
      <c r="K300" s="121" t="s">
        <v>71</v>
      </c>
      <c r="L300" s="118" t="s">
        <v>792</v>
      </c>
      <c r="M300" s="105"/>
    </row>
    <row r="301" spans="1:16" ht="12.75" customHeight="1" x14ac:dyDescent="0.45">
      <c r="A301" s="788" t="s">
        <v>807</v>
      </c>
      <c r="B301" s="616"/>
      <c r="C301" s="616">
        <v>42</v>
      </c>
      <c r="D301" s="716"/>
      <c r="E301" s="723"/>
      <c r="F301" s="723">
        <v>-5</v>
      </c>
      <c r="G301" s="723">
        <v>-5</v>
      </c>
      <c r="H301" s="723">
        <v>-5</v>
      </c>
      <c r="I301" s="472">
        <v>-5</v>
      </c>
      <c r="J301" s="595"/>
      <c r="K301" s="790"/>
      <c r="L301" s="789" t="s">
        <v>804</v>
      </c>
      <c r="M301" s="105"/>
    </row>
    <row r="302" spans="1:16" ht="12.75" customHeight="1" x14ac:dyDescent="0.45">
      <c r="A302" s="788" t="s">
        <v>818</v>
      </c>
      <c r="B302" s="616" t="s">
        <v>872</v>
      </c>
      <c r="C302" s="616">
        <v>42</v>
      </c>
      <c r="D302" s="392"/>
      <c r="E302" s="152"/>
      <c r="F302" s="723"/>
      <c r="G302" s="723"/>
      <c r="H302" s="723"/>
      <c r="I302" s="472"/>
      <c r="J302" s="595"/>
      <c r="K302" s="121"/>
      <c r="L302" s="789"/>
      <c r="M302" s="147"/>
    </row>
    <row r="303" spans="1:16" ht="12.75" customHeight="1" x14ac:dyDescent="0.45">
      <c r="A303" s="221" t="s">
        <v>846</v>
      </c>
      <c r="B303" s="391"/>
      <c r="C303" s="391">
        <v>42</v>
      </c>
      <c r="D303" s="392"/>
      <c r="E303" s="152"/>
      <c r="F303" s="152">
        <v>-4448</v>
      </c>
      <c r="G303" s="152">
        <v>-4448</v>
      </c>
      <c r="H303" s="152">
        <v>-4448</v>
      </c>
      <c r="I303" s="216">
        <v>-4448</v>
      </c>
      <c r="J303" s="175"/>
      <c r="K303" s="121" t="s">
        <v>71</v>
      </c>
      <c r="L303" s="118" t="s">
        <v>849</v>
      </c>
    </row>
    <row r="304" spans="1:16" ht="12.75" customHeight="1" x14ac:dyDescent="0.45">
      <c r="A304" s="221" t="s">
        <v>865</v>
      </c>
      <c r="B304" s="391"/>
      <c r="C304" s="391">
        <v>42</v>
      </c>
      <c r="D304" s="392"/>
      <c r="E304" s="152"/>
      <c r="F304" s="152">
        <v>858</v>
      </c>
      <c r="G304" s="152">
        <v>858</v>
      </c>
      <c r="H304" s="152">
        <v>858</v>
      </c>
      <c r="I304" s="216">
        <v>858</v>
      </c>
      <c r="J304" s="175"/>
      <c r="K304" s="121" t="s">
        <v>71</v>
      </c>
      <c r="L304" s="813" t="s">
        <v>934</v>
      </c>
    </row>
    <row r="305" spans="1:12" ht="12.75" customHeight="1" x14ac:dyDescent="0.45">
      <c r="A305" s="221" t="s">
        <v>866</v>
      </c>
      <c r="B305" s="391"/>
      <c r="C305" s="391">
        <v>42</v>
      </c>
      <c r="D305" s="392"/>
      <c r="E305" s="152"/>
      <c r="F305" s="152">
        <v>857</v>
      </c>
      <c r="G305" s="152">
        <v>857</v>
      </c>
      <c r="H305" s="152">
        <v>0</v>
      </c>
      <c r="I305" s="216">
        <v>0</v>
      </c>
      <c r="J305" s="175"/>
      <c r="K305" s="121" t="s">
        <v>71</v>
      </c>
      <c r="L305" s="813" t="s">
        <v>934</v>
      </c>
    </row>
    <row r="306" spans="1:12" ht="12.75" customHeight="1" x14ac:dyDescent="0.45">
      <c r="A306" s="221" t="s">
        <v>874</v>
      </c>
      <c r="B306" s="391"/>
      <c r="C306" s="391">
        <v>42</v>
      </c>
      <c r="D306" s="392"/>
      <c r="E306" s="152"/>
      <c r="F306" s="152">
        <v>-19</v>
      </c>
      <c r="G306" s="152">
        <v>-45</v>
      </c>
      <c r="H306" s="152">
        <v>-46</v>
      </c>
      <c r="I306" s="216">
        <v>-46</v>
      </c>
      <c r="J306" s="175"/>
      <c r="K306" s="121" t="s">
        <v>71</v>
      </c>
      <c r="L306" s="813" t="s">
        <v>873</v>
      </c>
    </row>
    <row r="307" spans="1:12" ht="12.75" customHeight="1" x14ac:dyDescent="0.45">
      <c r="A307" s="221" t="s">
        <v>902</v>
      </c>
      <c r="B307" s="391"/>
      <c r="C307" s="391">
        <v>42</v>
      </c>
      <c r="D307" s="392"/>
      <c r="E307" s="152"/>
      <c r="F307" s="152">
        <v>0</v>
      </c>
      <c r="G307" s="152">
        <v>0</v>
      </c>
      <c r="H307" s="152">
        <v>0</v>
      </c>
      <c r="I307" s="216">
        <v>-5106</v>
      </c>
      <c r="J307" s="175"/>
      <c r="K307" s="121" t="s">
        <v>71</v>
      </c>
      <c r="L307" s="118" t="s">
        <v>903</v>
      </c>
    </row>
    <row r="308" spans="1:12" ht="12.75" customHeight="1" x14ac:dyDescent="0.45">
      <c r="A308" s="221" t="s">
        <v>918</v>
      </c>
      <c r="B308" s="391"/>
      <c r="C308" s="391">
        <v>42</v>
      </c>
      <c r="D308" s="392"/>
      <c r="E308" s="152"/>
      <c r="F308" s="152">
        <v>-109</v>
      </c>
      <c r="G308" s="152">
        <v>-109</v>
      </c>
      <c r="H308" s="152">
        <v>-109</v>
      </c>
      <c r="I308" s="216">
        <v>-109</v>
      </c>
      <c r="J308" s="175"/>
      <c r="K308" s="121" t="s">
        <v>71</v>
      </c>
      <c r="L308" s="118" t="s">
        <v>981</v>
      </c>
    </row>
    <row r="309" spans="1:12" ht="12.75" customHeight="1" x14ac:dyDescent="0.45">
      <c r="A309" s="221" t="s">
        <v>935</v>
      </c>
      <c r="B309" s="391"/>
      <c r="C309" s="391">
        <v>42</v>
      </c>
      <c r="D309" s="392"/>
      <c r="E309" s="152"/>
      <c r="F309" s="152">
        <v>-674</v>
      </c>
      <c r="G309" s="152">
        <v>-674</v>
      </c>
      <c r="H309" s="152">
        <v>-674</v>
      </c>
      <c r="I309" s="216">
        <v>-674</v>
      </c>
      <c r="J309" s="175"/>
      <c r="K309" s="121" t="s">
        <v>71</v>
      </c>
      <c r="L309" s="813" t="s">
        <v>934</v>
      </c>
    </row>
    <row r="310" spans="1:12" ht="12.75" customHeight="1" x14ac:dyDescent="0.45">
      <c r="A310" s="221"/>
      <c r="B310" s="391"/>
      <c r="C310" s="391"/>
      <c r="D310" s="392"/>
      <c r="E310" s="152"/>
      <c r="F310" s="152"/>
      <c r="G310" s="152"/>
      <c r="H310" s="152"/>
      <c r="I310" s="216"/>
      <c r="J310" s="118"/>
      <c r="K310" s="121"/>
    </row>
    <row r="311" spans="1:12" ht="12.75" customHeight="1" x14ac:dyDescent="0.45">
      <c r="A311" s="393" t="s">
        <v>103</v>
      </c>
      <c r="B311" s="391"/>
      <c r="C311" s="391"/>
      <c r="D311" s="392"/>
      <c r="E311" s="152"/>
      <c r="F311" s="460"/>
      <c r="G311" s="460"/>
      <c r="H311" s="460"/>
      <c r="I311" s="461"/>
      <c r="J311" s="118"/>
      <c r="K311" s="121"/>
    </row>
    <row r="312" spans="1:12" ht="28.5" customHeight="1" x14ac:dyDescent="0.45">
      <c r="A312" s="220" t="s">
        <v>378</v>
      </c>
      <c r="B312" s="391"/>
      <c r="C312" s="391">
        <v>43</v>
      </c>
      <c r="D312" s="392"/>
      <c r="E312" s="152"/>
      <c r="F312" s="152">
        <v>200</v>
      </c>
      <c r="G312" s="152"/>
      <c r="H312" s="152"/>
      <c r="I312" s="216"/>
      <c r="J312" s="595"/>
      <c r="K312" s="121" t="s">
        <v>71</v>
      </c>
      <c r="L312" s="118" t="s">
        <v>402</v>
      </c>
    </row>
    <row r="313" spans="1:12" ht="12.75" customHeight="1" x14ac:dyDescent="0.45">
      <c r="A313" s="221" t="s">
        <v>479</v>
      </c>
      <c r="B313" s="391"/>
      <c r="C313" s="391">
        <v>43</v>
      </c>
      <c r="D313" s="392"/>
      <c r="E313" s="152"/>
      <c r="F313" s="152">
        <v>16</v>
      </c>
      <c r="G313" s="152">
        <v>16</v>
      </c>
      <c r="H313" s="152">
        <v>16</v>
      </c>
      <c r="I313" s="216">
        <v>16</v>
      </c>
      <c r="J313" s="595"/>
      <c r="K313" s="121" t="s">
        <v>71</v>
      </c>
      <c r="L313" s="118" t="s">
        <v>480</v>
      </c>
    </row>
    <row r="314" spans="1:12" ht="12.75" customHeight="1" x14ac:dyDescent="0.45">
      <c r="A314" s="221" t="s">
        <v>579</v>
      </c>
      <c r="B314" s="391"/>
      <c r="C314" s="391">
        <v>43</v>
      </c>
      <c r="D314" s="392"/>
      <c r="E314" s="152"/>
      <c r="F314" s="152">
        <v>-2</v>
      </c>
      <c r="G314" s="152">
        <v>-2</v>
      </c>
      <c r="H314" s="152">
        <v>-2</v>
      </c>
      <c r="I314" s="216">
        <v>-2</v>
      </c>
      <c r="J314" s="595"/>
      <c r="K314" s="121" t="s">
        <v>71</v>
      </c>
      <c r="L314" s="118" t="s">
        <v>580</v>
      </c>
    </row>
    <row r="315" spans="1:12" ht="12.75" customHeight="1" x14ac:dyDescent="0.45">
      <c r="A315" s="221" t="s">
        <v>646</v>
      </c>
      <c r="B315" s="391"/>
      <c r="C315" s="391">
        <v>43</v>
      </c>
      <c r="D315" s="392"/>
      <c r="E315" s="152"/>
      <c r="F315" s="152"/>
      <c r="G315" s="152"/>
      <c r="H315" s="152"/>
      <c r="I315" s="216"/>
      <c r="J315" s="595"/>
      <c r="K315" s="121" t="s">
        <v>71</v>
      </c>
      <c r="L315" s="118" t="s">
        <v>774</v>
      </c>
    </row>
    <row r="316" spans="1:12" ht="12.75" customHeight="1" x14ac:dyDescent="0.45">
      <c r="A316" s="221" t="s">
        <v>769</v>
      </c>
      <c r="B316" s="391"/>
      <c r="C316" s="391">
        <v>43</v>
      </c>
      <c r="D316" s="392"/>
      <c r="E316" s="152"/>
      <c r="F316" s="152">
        <v>-61</v>
      </c>
      <c r="G316" s="152">
        <v>-62</v>
      </c>
      <c r="H316" s="152">
        <v>-62</v>
      </c>
      <c r="I316" s="216">
        <v>-62</v>
      </c>
      <c r="J316" s="595"/>
      <c r="K316" s="121" t="s">
        <v>71</v>
      </c>
      <c r="L316" s="118" t="s">
        <v>770</v>
      </c>
    </row>
    <row r="317" spans="1:12" ht="12.75" customHeight="1" x14ac:dyDescent="0.45">
      <c r="A317" s="221" t="s">
        <v>777</v>
      </c>
      <c r="B317" s="391"/>
      <c r="C317" s="391">
        <v>43</v>
      </c>
      <c r="D317" s="392"/>
      <c r="E317" s="152"/>
      <c r="F317" s="152">
        <v>109</v>
      </c>
      <c r="G317" s="152">
        <v>146</v>
      </c>
      <c r="H317" s="152">
        <v>147</v>
      </c>
      <c r="I317" s="216">
        <v>148</v>
      </c>
      <c r="J317" s="595"/>
      <c r="K317" s="121" t="s">
        <v>71</v>
      </c>
      <c r="L317" s="118" t="s">
        <v>778</v>
      </c>
    </row>
    <row r="318" spans="1:12" ht="12.75" customHeight="1" x14ac:dyDescent="0.45">
      <c r="A318" s="221" t="s">
        <v>789</v>
      </c>
      <c r="B318" s="391"/>
      <c r="C318" s="391">
        <v>43</v>
      </c>
      <c r="D318" s="392"/>
      <c r="E318" s="152"/>
      <c r="F318" s="152">
        <v>1</v>
      </c>
      <c r="G318" s="152">
        <v>1</v>
      </c>
      <c r="H318" s="152">
        <v>0</v>
      </c>
      <c r="I318" s="216">
        <v>0</v>
      </c>
      <c r="J318" s="595"/>
      <c r="K318" s="121" t="s">
        <v>71</v>
      </c>
      <c r="L318" s="118" t="s">
        <v>790</v>
      </c>
    </row>
    <row r="319" spans="1:12" ht="12.75" customHeight="1" x14ac:dyDescent="0.45">
      <c r="A319" s="221"/>
      <c r="B319" s="391"/>
      <c r="C319" s="391"/>
      <c r="D319" s="392"/>
      <c r="E319" s="152"/>
      <c r="F319" s="152"/>
      <c r="G319" s="152"/>
      <c r="H319" s="152"/>
      <c r="I319" s="216"/>
      <c r="J319" s="118"/>
      <c r="K319" s="121"/>
      <c r="L319" s="118"/>
    </row>
    <row r="320" spans="1:12" ht="12.75" customHeight="1" x14ac:dyDescent="0.45">
      <c r="A320" s="393" t="s">
        <v>55</v>
      </c>
      <c r="B320" s="391"/>
      <c r="C320" s="391"/>
      <c r="D320" s="392"/>
      <c r="E320" s="152"/>
      <c r="F320" s="460"/>
      <c r="G320" s="460"/>
      <c r="H320" s="460"/>
      <c r="I320" s="461"/>
      <c r="J320" s="118"/>
      <c r="K320" s="121"/>
      <c r="L320" s="118"/>
    </row>
    <row r="321" spans="1:17" ht="12.75" customHeight="1" x14ac:dyDescent="0.45">
      <c r="A321" s="221" t="s">
        <v>388</v>
      </c>
      <c r="B321" s="391"/>
      <c r="C321" s="391">
        <v>44</v>
      </c>
      <c r="D321" s="391"/>
      <c r="E321" s="152"/>
      <c r="F321" s="152">
        <v>120</v>
      </c>
      <c r="G321" s="152">
        <v>124</v>
      </c>
      <c r="H321" s="152">
        <v>127</v>
      </c>
      <c r="I321" s="216">
        <v>127</v>
      </c>
      <c r="J321" s="118"/>
      <c r="K321" s="121" t="s">
        <v>71</v>
      </c>
      <c r="L321" s="118" t="s">
        <v>471</v>
      </c>
    </row>
    <row r="322" spans="1:17" ht="14.25" x14ac:dyDescent="0.45">
      <c r="A322" s="221" t="s">
        <v>389</v>
      </c>
      <c r="B322" s="391"/>
      <c r="C322" s="391">
        <v>44</v>
      </c>
      <c r="D322" s="391"/>
      <c r="E322" s="152"/>
      <c r="F322" s="152">
        <v>27</v>
      </c>
      <c r="G322" s="152">
        <v>27</v>
      </c>
      <c r="H322" s="152">
        <v>27</v>
      </c>
      <c r="I322" s="216">
        <v>27</v>
      </c>
      <c r="J322" s="118"/>
      <c r="K322" s="121" t="s">
        <v>71</v>
      </c>
      <c r="L322" s="118" t="s">
        <v>471</v>
      </c>
    </row>
    <row r="323" spans="1:17" ht="14.25" x14ac:dyDescent="0.45">
      <c r="A323" s="221" t="s">
        <v>467</v>
      </c>
      <c r="B323" s="391"/>
      <c r="C323" s="391">
        <v>44</v>
      </c>
      <c r="D323" s="392"/>
      <c r="E323" s="152"/>
      <c r="F323" s="152">
        <v>-11</v>
      </c>
      <c r="G323" s="152">
        <v>-11</v>
      </c>
      <c r="H323" s="152">
        <v>-11</v>
      </c>
      <c r="I323" s="216">
        <v>-11</v>
      </c>
      <c r="J323" s="595"/>
      <c r="K323" s="121" t="s">
        <v>71</v>
      </c>
      <c r="L323" s="118" t="s">
        <v>466</v>
      </c>
    </row>
    <row r="324" spans="1:17" ht="12.75" customHeight="1" x14ac:dyDescent="0.45">
      <c r="A324" s="221" t="s">
        <v>468</v>
      </c>
      <c r="B324" s="391"/>
      <c r="C324" s="391">
        <v>44</v>
      </c>
      <c r="D324" s="391"/>
      <c r="E324" s="152"/>
      <c r="F324" s="152">
        <v>44</v>
      </c>
      <c r="G324" s="152">
        <v>44</v>
      </c>
      <c r="H324" s="152">
        <v>44</v>
      </c>
      <c r="I324" s="216">
        <v>44</v>
      </c>
      <c r="J324" s="118"/>
      <c r="K324" s="121" t="s">
        <v>71</v>
      </c>
      <c r="L324" s="118" t="s">
        <v>470</v>
      </c>
    </row>
    <row r="325" spans="1:17" ht="12.75" customHeight="1" x14ac:dyDescent="0.45">
      <c r="A325" s="221" t="s">
        <v>479</v>
      </c>
      <c r="B325" s="391"/>
      <c r="C325" s="391">
        <v>44</v>
      </c>
      <c r="D325" s="392"/>
      <c r="E325" s="152"/>
      <c r="F325" s="152">
        <v>126</v>
      </c>
      <c r="G325" s="152">
        <v>130</v>
      </c>
      <c r="H325" s="152">
        <v>138</v>
      </c>
      <c r="I325" s="216">
        <v>138</v>
      </c>
      <c r="J325" s="595"/>
      <c r="K325" s="121" t="s">
        <v>71</v>
      </c>
      <c r="L325" s="118" t="s">
        <v>480</v>
      </c>
    </row>
    <row r="326" spans="1:17" ht="14.25" x14ac:dyDescent="0.45">
      <c r="A326" s="221" t="s">
        <v>579</v>
      </c>
      <c r="B326" s="391"/>
      <c r="C326" s="391">
        <v>44</v>
      </c>
      <c r="D326" s="391"/>
      <c r="E326" s="152"/>
      <c r="F326" s="152">
        <v>-35</v>
      </c>
      <c r="G326" s="152">
        <v>-35</v>
      </c>
      <c r="H326" s="152">
        <v>-35</v>
      </c>
      <c r="I326" s="216">
        <v>-35</v>
      </c>
      <c r="J326" s="118"/>
      <c r="K326" s="121" t="s">
        <v>71</v>
      </c>
      <c r="L326" s="118" t="s">
        <v>580</v>
      </c>
    </row>
    <row r="327" spans="1:17" ht="14.25" x14ac:dyDescent="0.45">
      <c r="A327" s="221" t="s">
        <v>588</v>
      </c>
      <c r="B327" s="391"/>
      <c r="C327" s="391">
        <v>44</v>
      </c>
      <c r="D327" s="391"/>
      <c r="E327" s="152"/>
      <c r="F327" s="152">
        <v>-674</v>
      </c>
      <c r="G327" s="152">
        <v>-674</v>
      </c>
      <c r="H327" s="152">
        <v>-674</v>
      </c>
      <c r="I327" s="216">
        <v>-674</v>
      </c>
      <c r="J327" s="118"/>
      <c r="K327" s="121" t="s">
        <v>71</v>
      </c>
      <c r="L327" s="118" t="s">
        <v>587</v>
      </c>
      <c r="N327" s="105"/>
    </row>
    <row r="328" spans="1:17" ht="14.25" x14ac:dyDescent="0.45">
      <c r="A328" s="221" t="s">
        <v>646</v>
      </c>
      <c r="B328" s="391"/>
      <c r="C328" s="391">
        <v>44</v>
      </c>
      <c r="D328" s="391"/>
      <c r="E328" s="152"/>
      <c r="F328" s="152"/>
      <c r="G328" s="152"/>
      <c r="H328" s="152"/>
      <c r="I328" s="216"/>
      <c r="J328" s="118"/>
      <c r="K328" s="121" t="s">
        <v>71</v>
      </c>
      <c r="L328" s="118" t="s">
        <v>774</v>
      </c>
      <c r="N328" s="105"/>
    </row>
    <row r="329" spans="1:17" ht="14.25" x14ac:dyDescent="0.45">
      <c r="A329" s="221" t="s">
        <v>769</v>
      </c>
      <c r="B329" s="391"/>
      <c r="C329" s="391">
        <v>44</v>
      </c>
      <c r="D329" s="391"/>
      <c r="E329" s="152"/>
      <c r="F329" s="152">
        <v>-1199</v>
      </c>
      <c r="G329" s="152">
        <v>-1197</v>
      </c>
      <c r="H329" s="152">
        <v>-1197</v>
      </c>
      <c r="I329" s="216">
        <v>-1197</v>
      </c>
      <c r="J329" s="118"/>
      <c r="K329" s="121" t="s">
        <v>71</v>
      </c>
      <c r="L329" s="118" t="s">
        <v>770</v>
      </c>
      <c r="M329" s="105"/>
    </row>
    <row r="330" spans="1:17" ht="14.25" x14ac:dyDescent="0.45">
      <c r="A330" s="221" t="s">
        <v>775</v>
      </c>
      <c r="B330" s="616"/>
      <c r="C330" s="391">
        <v>44</v>
      </c>
      <c r="D330" s="392"/>
      <c r="E330" s="152"/>
      <c r="F330" s="152">
        <v>265</v>
      </c>
      <c r="G330" s="152">
        <v>265</v>
      </c>
      <c r="H330" s="152">
        <v>265</v>
      </c>
      <c r="I330" s="216">
        <v>265</v>
      </c>
      <c r="J330" s="175"/>
      <c r="K330" s="121" t="s">
        <v>71</v>
      </c>
      <c r="L330" s="118" t="s">
        <v>933</v>
      </c>
    </row>
    <row r="331" spans="1:17" ht="14.25" x14ac:dyDescent="0.45">
      <c r="A331" s="221" t="s">
        <v>777</v>
      </c>
      <c r="B331" s="616"/>
      <c r="C331" s="391">
        <v>44</v>
      </c>
      <c r="D331" s="392"/>
      <c r="E331" s="152"/>
      <c r="F331" s="152">
        <v>1597</v>
      </c>
      <c r="G331" s="152">
        <v>2111</v>
      </c>
      <c r="H331" s="152">
        <v>2111</v>
      </c>
      <c r="I331" s="216">
        <v>2111</v>
      </c>
      <c r="J331" s="175"/>
      <c r="K331" s="121" t="s">
        <v>71</v>
      </c>
      <c r="L331" s="118" t="s">
        <v>778</v>
      </c>
    </row>
    <row r="332" spans="1:17" ht="14.25" x14ac:dyDescent="0.45">
      <c r="A332" s="221" t="s">
        <v>789</v>
      </c>
      <c r="B332" s="616"/>
      <c r="C332" s="391">
        <v>44</v>
      </c>
      <c r="D332" s="392"/>
      <c r="E332" s="152"/>
      <c r="F332" s="152">
        <v>8</v>
      </c>
      <c r="G332" s="152">
        <v>-3</v>
      </c>
      <c r="H332" s="152">
        <v>1</v>
      </c>
      <c r="I332" s="216">
        <v>1</v>
      </c>
      <c r="J332" s="175"/>
      <c r="K332" s="121" t="s">
        <v>71</v>
      </c>
      <c r="L332" s="118" t="s">
        <v>790</v>
      </c>
    </row>
    <row r="333" spans="1:17" ht="14.25" x14ac:dyDescent="0.45">
      <c r="A333" s="221" t="s">
        <v>793</v>
      </c>
      <c r="B333" s="391"/>
      <c r="C333" s="391">
        <v>44</v>
      </c>
      <c r="D333" s="392"/>
      <c r="E333" s="152"/>
      <c r="F333" s="152">
        <v>-1</v>
      </c>
      <c r="G333" s="152">
        <v>-1</v>
      </c>
      <c r="H333" s="152">
        <v>-1</v>
      </c>
      <c r="I333" s="216">
        <v>-1</v>
      </c>
      <c r="J333" s="118"/>
      <c r="K333" s="121" t="s">
        <v>71</v>
      </c>
      <c r="L333" s="118" t="s">
        <v>792</v>
      </c>
    </row>
    <row r="334" spans="1:17" ht="14.25" x14ac:dyDescent="0.45">
      <c r="A334" s="221" t="s">
        <v>805</v>
      </c>
      <c r="B334" s="796"/>
      <c r="C334" s="391">
        <v>44</v>
      </c>
      <c r="D334" s="392"/>
      <c r="E334" s="152"/>
      <c r="F334" s="152">
        <v>-4</v>
      </c>
      <c r="G334" s="152">
        <v>-4</v>
      </c>
      <c r="H334" s="152">
        <v>-4</v>
      </c>
      <c r="I334" s="216">
        <v>-4</v>
      </c>
      <c r="J334" s="175"/>
      <c r="K334" s="121" t="s">
        <v>71</v>
      </c>
      <c r="L334" s="118" t="s">
        <v>792</v>
      </c>
    </row>
    <row r="335" spans="1:17" ht="14.25" x14ac:dyDescent="0.45">
      <c r="A335" s="221" t="s">
        <v>808</v>
      </c>
      <c r="B335" s="796"/>
      <c r="C335" s="391">
        <v>44</v>
      </c>
      <c r="D335" s="392"/>
      <c r="E335" s="152"/>
      <c r="F335" s="152">
        <v>-557</v>
      </c>
      <c r="G335" s="152">
        <v>-557</v>
      </c>
      <c r="H335" s="152">
        <v>-557</v>
      </c>
      <c r="I335" s="216">
        <v>-557</v>
      </c>
      <c r="J335" s="175"/>
      <c r="K335" s="121" t="s">
        <v>71</v>
      </c>
      <c r="L335" s="118" t="s">
        <v>809</v>
      </c>
      <c r="M335" s="105"/>
      <c r="N335" s="105"/>
      <c r="O335" s="105"/>
      <c r="P335" s="105"/>
      <c r="Q335" s="105"/>
    </row>
    <row r="336" spans="1:17" ht="14.25" x14ac:dyDescent="0.45">
      <c r="A336" s="221" t="s">
        <v>857</v>
      </c>
      <c r="B336" s="796"/>
      <c r="C336" s="391">
        <v>44</v>
      </c>
      <c r="D336" s="392"/>
      <c r="E336" s="152"/>
      <c r="F336" s="152">
        <v>2152</v>
      </c>
      <c r="G336" s="152">
        <v>2152</v>
      </c>
      <c r="H336" s="152">
        <v>2152</v>
      </c>
      <c r="I336" s="216">
        <v>2152</v>
      </c>
      <c r="J336" s="175"/>
      <c r="K336" s="121" t="s">
        <v>71</v>
      </c>
      <c r="L336" s="118" t="s">
        <v>858</v>
      </c>
      <c r="M336" s="105"/>
      <c r="N336" s="105"/>
      <c r="O336" s="105"/>
      <c r="P336" s="105"/>
      <c r="Q336" s="105"/>
    </row>
    <row r="337" spans="1:17" ht="14.25" x14ac:dyDescent="0.45">
      <c r="A337" s="221" t="s">
        <v>861</v>
      </c>
      <c r="B337" s="616" t="s">
        <v>872</v>
      </c>
      <c r="C337" s="391">
        <v>44</v>
      </c>
      <c r="D337" s="392"/>
      <c r="E337" s="152"/>
      <c r="F337" s="152"/>
      <c r="G337" s="152"/>
      <c r="H337" s="152"/>
      <c r="I337" s="216"/>
      <c r="J337" s="175"/>
      <c r="K337" s="121"/>
      <c r="L337" s="118"/>
      <c r="M337" s="105"/>
      <c r="N337" s="105"/>
      <c r="O337" s="105"/>
      <c r="P337" s="105"/>
      <c r="Q337" s="105"/>
    </row>
    <row r="338" spans="1:17" ht="14.25" x14ac:dyDescent="0.45">
      <c r="A338" s="221" t="s">
        <v>867</v>
      </c>
      <c r="B338" s="812"/>
      <c r="C338" s="391">
        <v>44</v>
      </c>
      <c r="D338" s="392"/>
      <c r="E338" s="152"/>
      <c r="F338" s="152">
        <v>137</v>
      </c>
      <c r="G338" s="152">
        <v>137</v>
      </c>
      <c r="H338" s="152">
        <v>137</v>
      </c>
      <c r="I338" s="216">
        <v>137</v>
      </c>
      <c r="J338" s="175"/>
      <c r="K338" s="121" t="s">
        <v>71</v>
      </c>
      <c r="L338" s="118" t="s">
        <v>933</v>
      </c>
      <c r="M338" s="105"/>
      <c r="N338" s="105"/>
      <c r="O338" s="105"/>
      <c r="P338" s="105"/>
      <c r="Q338" s="105"/>
    </row>
    <row r="339" spans="1:17" ht="14.25" x14ac:dyDescent="0.45">
      <c r="A339" s="221" t="s">
        <v>869</v>
      </c>
      <c r="B339" s="796"/>
      <c r="C339" s="391">
        <v>44</v>
      </c>
      <c r="D339" s="392"/>
      <c r="E339" s="152"/>
      <c r="F339" s="152">
        <v>5839</v>
      </c>
      <c r="G339" s="152">
        <v>6416</v>
      </c>
      <c r="H339" s="152">
        <v>7277</v>
      </c>
      <c r="I339" s="216">
        <v>6940</v>
      </c>
      <c r="J339" s="175"/>
      <c r="K339" s="121" t="s">
        <v>71</v>
      </c>
      <c r="L339" s="118" t="s">
        <v>941</v>
      </c>
      <c r="M339" s="105"/>
      <c r="N339" s="105"/>
      <c r="O339" s="105"/>
      <c r="P339" s="105"/>
      <c r="Q339" s="105"/>
    </row>
    <row r="340" spans="1:17" ht="14.25" x14ac:dyDescent="0.45">
      <c r="A340" s="221" t="s">
        <v>947</v>
      </c>
      <c r="B340" s="796"/>
      <c r="C340" s="391">
        <v>44</v>
      </c>
      <c r="D340" s="392"/>
      <c r="E340" s="152"/>
      <c r="F340" s="152">
        <v>296</v>
      </c>
      <c r="G340" s="152">
        <v>-245</v>
      </c>
      <c r="H340" s="152">
        <v>-161</v>
      </c>
      <c r="I340" s="216">
        <v>99</v>
      </c>
      <c r="J340" s="175"/>
      <c r="K340" s="121" t="s">
        <v>71</v>
      </c>
      <c r="L340" s="118" t="s">
        <v>948</v>
      </c>
      <c r="M340" s="105"/>
      <c r="N340" s="105"/>
      <c r="O340" s="105"/>
      <c r="P340" s="105"/>
      <c r="Q340" s="105"/>
    </row>
    <row r="341" spans="1:17" ht="14.25" x14ac:dyDescent="0.45">
      <c r="A341" s="221"/>
      <c r="B341" s="796"/>
      <c r="C341" s="391"/>
      <c r="D341" s="392"/>
      <c r="E341" s="152"/>
      <c r="F341" s="152"/>
      <c r="G341" s="152"/>
      <c r="H341" s="152"/>
      <c r="I341" s="216"/>
      <c r="J341" s="175"/>
      <c r="K341" s="121"/>
      <c r="L341" s="118"/>
      <c r="N341" s="105"/>
      <c r="O341" s="105"/>
      <c r="P341" s="105"/>
      <c r="Q341" s="105"/>
    </row>
    <row r="342" spans="1:17" ht="14.25" x14ac:dyDescent="0.45">
      <c r="A342" s="393" t="s">
        <v>451</v>
      </c>
      <c r="B342" s="391"/>
      <c r="C342" s="391"/>
      <c r="D342" s="392"/>
      <c r="E342" s="152"/>
      <c r="F342" s="152"/>
      <c r="G342" s="152"/>
      <c r="H342" s="152"/>
      <c r="I342" s="216"/>
      <c r="J342" s="118"/>
      <c r="K342" s="121"/>
      <c r="L342" s="118"/>
      <c r="M342" s="105"/>
      <c r="N342" s="105"/>
    </row>
    <row r="343" spans="1:17" ht="28.5" x14ac:dyDescent="0.45">
      <c r="A343" s="220" t="s">
        <v>380</v>
      </c>
      <c r="B343" s="391"/>
      <c r="C343" s="391">
        <v>45</v>
      </c>
      <c r="D343" s="392"/>
      <c r="E343" s="152"/>
      <c r="F343" s="152">
        <v>-3000</v>
      </c>
      <c r="G343" s="152"/>
      <c r="H343" s="152"/>
      <c r="I343" s="216"/>
      <c r="J343" s="175"/>
      <c r="K343" s="121" t="s">
        <v>71</v>
      </c>
      <c r="L343" s="118" t="s">
        <v>402</v>
      </c>
    </row>
    <row r="344" spans="1:17" ht="14.25" x14ac:dyDescent="0.45">
      <c r="A344" s="221" t="s">
        <v>479</v>
      </c>
      <c r="B344" s="391"/>
      <c r="C344" s="391">
        <v>45</v>
      </c>
      <c r="D344" s="392"/>
      <c r="E344" s="152"/>
      <c r="F344" s="152">
        <v>62</v>
      </c>
      <c r="G344" s="152">
        <v>64</v>
      </c>
      <c r="H344" s="152">
        <v>64</v>
      </c>
      <c r="I344" s="216">
        <v>64</v>
      </c>
      <c r="J344" s="595"/>
      <c r="K344" s="121" t="s">
        <v>71</v>
      </c>
      <c r="L344" s="118" t="s">
        <v>480</v>
      </c>
    </row>
    <row r="345" spans="1:17" ht="12.75" customHeight="1" x14ac:dyDescent="0.45">
      <c r="A345" s="221" t="s">
        <v>562</v>
      </c>
      <c r="B345" s="391"/>
      <c r="C345" s="391">
        <v>45</v>
      </c>
      <c r="D345" s="392"/>
      <c r="E345" s="152"/>
      <c r="F345" s="152">
        <v>-205</v>
      </c>
      <c r="G345" s="152">
        <v>-205</v>
      </c>
      <c r="H345" s="152">
        <v>-205</v>
      </c>
      <c r="I345" s="216">
        <v>-205</v>
      </c>
      <c r="J345" s="595"/>
      <c r="K345" s="121" t="s">
        <v>71</v>
      </c>
      <c r="L345" s="118" t="s">
        <v>618</v>
      </c>
    </row>
    <row r="346" spans="1:17" ht="12.75" customHeight="1" x14ac:dyDescent="0.45">
      <c r="A346" s="221" t="s">
        <v>579</v>
      </c>
      <c r="B346" s="391"/>
      <c r="C346" s="391">
        <v>45</v>
      </c>
      <c r="D346" s="392"/>
      <c r="E346" s="152"/>
      <c r="F346" s="152">
        <v>-13</v>
      </c>
      <c r="G346" s="152">
        <v>-13</v>
      </c>
      <c r="H346" s="152">
        <v>-13</v>
      </c>
      <c r="I346" s="216">
        <v>-13</v>
      </c>
      <c r="J346" s="595"/>
      <c r="K346" s="121" t="s">
        <v>71</v>
      </c>
      <c r="L346" s="118" t="s">
        <v>580</v>
      </c>
    </row>
    <row r="347" spans="1:17" ht="14.25" x14ac:dyDescent="0.45">
      <c r="A347" s="221" t="s">
        <v>646</v>
      </c>
      <c r="B347" s="391"/>
      <c r="C347" s="391">
        <v>45</v>
      </c>
      <c r="D347" s="392"/>
      <c r="E347" s="152"/>
      <c r="F347" s="152"/>
      <c r="G347" s="152"/>
      <c r="H347" s="152"/>
      <c r="I347" s="216"/>
      <c r="J347" s="175"/>
      <c r="K347" s="121" t="s">
        <v>71</v>
      </c>
      <c r="L347" s="118" t="s">
        <v>774</v>
      </c>
    </row>
    <row r="348" spans="1:17" ht="14.25" x14ac:dyDescent="0.45">
      <c r="A348" s="221" t="s">
        <v>769</v>
      </c>
      <c r="B348" s="391"/>
      <c r="C348" s="391">
        <v>45</v>
      </c>
      <c r="D348" s="392"/>
      <c r="E348" s="152"/>
      <c r="F348" s="152">
        <v>-332</v>
      </c>
      <c r="G348" s="152">
        <v>-337</v>
      </c>
      <c r="H348" s="152">
        <v>-337</v>
      </c>
      <c r="I348" s="216">
        <v>-337</v>
      </c>
      <c r="J348" s="118"/>
      <c r="K348" s="121" t="s">
        <v>71</v>
      </c>
      <c r="L348" s="118" t="s">
        <v>770</v>
      </c>
    </row>
    <row r="349" spans="1:17" ht="14.25" x14ac:dyDescent="0.45">
      <c r="A349" s="221" t="s">
        <v>777</v>
      </c>
      <c r="B349" s="391"/>
      <c r="C349" s="391">
        <v>45</v>
      </c>
      <c r="D349" s="392"/>
      <c r="E349" s="152"/>
      <c r="F349" s="152">
        <v>548</v>
      </c>
      <c r="G349" s="152">
        <v>725</v>
      </c>
      <c r="H349" s="152">
        <v>725</v>
      </c>
      <c r="I349" s="216">
        <v>725</v>
      </c>
      <c r="J349" s="118"/>
      <c r="K349" s="121" t="s">
        <v>71</v>
      </c>
      <c r="L349" s="118" t="s">
        <v>778</v>
      </c>
    </row>
    <row r="350" spans="1:17" ht="14.25" x14ac:dyDescent="0.45">
      <c r="A350" s="221" t="s">
        <v>789</v>
      </c>
      <c r="B350" s="391"/>
      <c r="C350" s="391">
        <v>45</v>
      </c>
      <c r="D350" s="392"/>
      <c r="E350" s="152"/>
      <c r="F350" s="152">
        <v>-10</v>
      </c>
      <c r="G350" s="152">
        <v>-8</v>
      </c>
      <c r="H350" s="152">
        <v>-9</v>
      </c>
      <c r="I350" s="216">
        <v>-9</v>
      </c>
      <c r="J350" s="118"/>
      <c r="K350" s="121" t="s">
        <v>71</v>
      </c>
      <c r="L350" s="118" t="s">
        <v>790</v>
      </c>
    </row>
    <row r="351" spans="1:17" ht="14.25" x14ac:dyDescent="0.45">
      <c r="A351" s="221" t="s">
        <v>793</v>
      </c>
      <c r="B351" s="391"/>
      <c r="C351" s="391">
        <v>45</v>
      </c>
      <c r="D351" s="392"/>
      <c r="E351" s="152"/>
      <c r="F351" s="152">
        <v>-3</v>
      </c>
      <c r="G351" s="152">
        <v>-3</v>
      </c>
      <c r="H351" s="152">
        <v>-3</v>
      </c>
      <c r="I351" s="216">
        <v>-3</v>
      </c>
      <c r="J351" s="118"/>
      <c r="K351" s="121" t="s">
        <v>71</v>
      </c>
      <c r="L351" s="118" t="s">
        <v>792</v>
      </c>
    </row>
    <row r="352" spans="1:17" ht="14.25" x14ac:dyDescent="0.45">
      <c r="A352" s="221" t="s">
        <v>805</v>
      </c>
      <c r="B352" s="796"/>
      <c r="C352" s="391">
        <v>45</v>
      </c>
      <c r="D352" s="392"/>
      <c r="E352" s="152"/>
      <c r="F352" s="152">
        <v>-2</v>
      </c>
      <c r="G352" s="152">
        <v>-2</v>
      </c>
      <c r="H352" s="152">
        <v>-2</v>
      </c>
      <c r="I352" s="216">
        <v>-2</v>
      </c>
      <c r="J352" s="175"/>
      <c r="K352" s="121" t="s">
        <v>71</v>
      </c>
      <c r="L352" s="118" t="s">
        <v>792</v>
      </c>
    </row>
    <row r="353" spans="1:13" ht="14.25" x14ac:dyDescent="0.45">
      <c r="A353" s="221" t="s">
        <v>810</v>
      </c>
      <c r="B353" s="796"/>
      <c r="C353" s="391">
        <v>45</v>
      </c>
      <c r="D353" s="392"/>
      <c r="E353" s="152"/>
      <c r="F353" s="152">
        <v>293</v>
      </c>
      <c r="G353" s="152">
        <v>293</v>
      </c>
      <c r="H353" s="152">
        <v>293</v>
      </c>
      <c r="I353" s="216">
        <v>293</v>
      </c>
      <c r="J353" s="175"/>
      <c r="K353" s="121" t="s">
        <v>71</v>
      </c>
      <c r="L353" s="118" t="s">
        <v>811</v>
      </c>
    </row>
    <row r="354" spans="1:13" ht="14.25" x14ac:dyDescent="0.45">
      <c r="A354" s="221" t="s">
        <v>897</v>
      </c>
      <c r="B354" s="812"/>
      <c r="C354" s="391">
        <v>45</v>
      </c>
      <c r="D354" s="392"/>
      <c r="E354" s="152"/>
      <c r="F354" s="152">
        <v>-596</v>
      </c>
      <c r="G354" s="152">
        <v>-596</v>
      </c>
      <c r="H354" s="152">
        <v>-596</v>
      </c>
      <c r="I354" s="216">
        <v>-596</v>
      </c>
      <c r="J354" s="175"/>
      <c r="K354" s="121" t="s">
        <v>71</v>
      </c>
      <c r="L354" s="118" t="s">
        <v>917</v>
      </c>
    </row>
    <row r="355" spans="1:13" ht="14.25" x14ac:dyDescent="0.45">
      <c r="A355" s="788"/>
      <c r="B355" s="812"/>
      <c r="C355" s="616"/>
      <c r="D355" s="716"/>
      <c r="E355" s="723"/>
      <c r="F355" s="723"/>
      <c r="G355" s="723"/>
      <c r="H355" s="723"/>
      <c r="I355" s="472"/>
      <c r="J355" s="595"/>
      <c r="K355" s="790"/>
      <c r="L355" s="789"/>
    </row>
    <row r="356" spans="1:13" ht="14.25" x14ac:dyDescent="0.45">
      <c r="A356" s="393" t="s">
        <v>62</v>
      </c>
      <c r="B356" s="391"/>
      <c r="C356" s="391"/>
      <c r="D356" s="392"/>
      <c r="E356" s="152"/>
      <c r="F356" s="152"/>
      <c r="G356" s="152"/>
      <c r="H356" s="152"/>
      <c r="I356" s="216"/>
      <c r="J356" s="118"/>
      <c r="K356" s="121"/>
      <c r="L356" s="118"/>
    </row>
    <row r="357" spans="1:13" ht="14.25" x14ac:dyDescent="0.45">
      <c r="A357" s="221" t="s">
        <v>479</v>
      </c>
      <c r="B357" s="391"/>
      <c r="C357" s="391">
        <v>46</v>
      </c>
      <c r="D357" s="392"/>
      <c r="E357" s="152"/>
      <c r="F357" s="152">
        <v>-20</v>
      </c>
      <c r="G357" s="152">
        <v>-20</v>
      </c>
      <c r="H357" s="152">
        <v>-20</v>
      </c>
      <c r="I357" s="216">
        <v>-20</v>
      </c>
      <c r="J357" s="595"/>
      <c r="K357" s="121" t="s">
        <v>71</v>
      </c>
      <c r="L357" s="118" t="s">
        <v>480</v>
      </c>
    </row>
    <row r="358" spans="1:13" ht="12.75" customHeight="1" x14ac:dyDescent="0.45">
      <c r="A358" s="221" t="s">
        <v>563</v>
      </c>
      <c r="B358" s="391"/>
      <c r="C358" s="391">
        <v>46</v>
      </c>
      <c r="D358" s="392"/>
      <c r="E358" s="152"/>
      <c r="F358" s="152">
        <v>200</v>
      </c>
      <c r="G358" s="152">
        <v>200</v>
      </c>
      <c r="H358" s="152">
        <v>200</v>
      </c>
      <c r="I358" s="216">
        <v>200</v>
      </c>
      <c r="J358" s="595"/>
      <c r="K358" s="121" t="s">
        <v>71</v>
      </c>
      <c r="L358" s="118" t="s">
        <v>618</v>
      </c>
    </row>
    <row r="359" spans="1:13" ht="12.75" customHeight="1" x14ac:dyDescent="0.45">
      <c r="A359" s="221" t="s">
        <v>579</v>
      </c>
      <c r="B359" s="391"/>
      <c r="C359" s="391">
        <v>46</v>
      </c>
      <c r="D359" s="392"/>
      <c r="E359" s="152"/>
      <c r="F359" s="152">
        <v>0</v>
      </c>
      <c r="G359" s="152">
        <v>0</v>
      </c>
      <c r="H359" s="152">
        <v>0</v>
      </c>
      <c r="I359" s="216">
        <v>0</v>
      </c>
      <c r="J359" s="595"/>
      <c r="K359" s="121" t="s">
        <v>71</v>
      </c>
      <c r="L359" s="118" t="s">
        <v>580</v>
      </c>
    </row>
    <row r="360" spans="1:13" ht="12.75" customHeight="1" x14ac:dyDescent="0.45">
      <c r="A360" s="221" t="s">
        <v>769</v>
      </c>
      <c r="B360" s="391"/>
      <c r="C360" s="391">
        <v>46</v>
      </c>
      <c r="D360" s="392"/>
      <c r="E360" s="152"/>
      <c r="F360" s="152">
        <v>56</v>
      </c>
      <c r="G360" s="152">
        <v>56</v>
      </c>
      <c r="H360" s="152">
        <v>56</v>
      </c>
      <c r="I360" s="216">
        <v>56</v>
      </c>
      <c r="J360" s="118"/>
      <c r="K360" s="121" t="s">
        <v>71</v>
      </c>
      <c r="L360" s="118" t="s">
        <v>770</v>
      </c>
    </row>
    <row r="361" spans="1:13" ht="12.75" customHeight="1" x14ac:dyDescent="0.45">
      <c r="A361" s="221" t="s">
        <v>789</v>
      </c>
      <c r="B361" s="391"/>
      <c r="C361" s="391">
        <v>46</v>
      </c>
      <c r="D361" s="392"/>
      <c r="E361" s="152"/>
      <c r="F361" s="147">
        <v>0</v>
      </c>
      <c r="G361" s="147">
        <v>0</v>
      </c>
      <c r="H361" s="147">
        <v>0</v>
      </c>
      <c r="I361" s="463">
        <v>0</v>
      </c>
      <c r="J361" s="118"/>
      <c r="K361" s="121" t="s">
        <v>71</v>
      </c>
      <c r="L361" s="118" t="s">
        <v>790</v>
      </c>
    </row>
    <row r="362" spans="1:13" ht="20" customHeight="1" x14ac:dyDescent="0.45">
      <c r="A362" s="393" t="s">
        <v>435</v>
      </c>
      <c r="B362" s="391"/>
      <c r="C362" s="391"/>
      <c r="D362" s="392"/>
      <c r="E362" s="152"/>
      <c r="F362" s="147"/>
      <c r="G362" s="147"/>
      <c r="H362" s="147"/>
      <c r="I362" s="463"/>
      <c r="J362" s="118"/>
      <c r="K362" s="121"/>
      <c r="L362" s="118"/>
    </row>
    <row r="363" spans="1:13" ht="14.25" x14ac:dyDescent="0.45">
      <c r="A363" s="221" t="s">
        <v>401</v>
      </c>
      <c r="B363" s="391"/>
      <c r="C363" s="391">
        <v>50</v>
      </c>
      <c r="D363" s="392"/>
      <c r="E363" s="152"/>
      <c r="F363" s="152">
        <v>-144</v>
      </c>
      <c r="G363" s="152">
        <v>-144</v>
      </c>
      <c r="H363" s="152">
        <v>-144</v>
      </c>
      <c r="I363" s="216">
        <v>-144</v>
      </c>
      <c r="J363" s="595"/>
      <c r="K363" s="121" t="s">
        <v>71</v>
      </c>
      <c r="L363" s="118" t="s">
        <v>400</v>
      </c>
    </row>
    <row r="364" spans="1:13" ht="12.75" customHeight="1" x14ac:dyDescent="0.45">
      <c r="A364" s="221" t="s">
        <v>479</v>
      </c>
      <c r="B364" s="391"/>
      <c r="C364" s="391">
        <v>50</v>
      </c>
      <c r="D364" s="392"/>
      <c r="E364" s="152"/>
      <c r="F364" s="152">
        <v>-987</v>
      </c>
      <c r="G364" s="152">
        <v>-987</v>
      </c>
      <c r="H364" s="152">
        <v>-987</v>
      </c>
      <c r="I364" s="216">
        <v>-987</v>
      </c>
      <c r="J364" s="175"/>
      <c r="K364" s="121" t="s">
        <v>71</v>
      </c>
      <c r="L364" s="118" t="s">
        <v>480</v>
      </c>
    </row>
    <row r="365" spans="1:13" ht="14.25" x14ac:dyDescent="0.45">
      <c r="A365" s="221" t="s">
        <v>579</v>
      </c>
      <c r="B365" s="391"/>
      <c r="C365" s="391">
        <v>50</v>
      </c>
      <c r="D365" s="392"/>
      <c r="E365" s="152"/>
      <c r="F365" s="152">
        <v>0</v>
      </c>
      <c r="G365" s="152">
        <v>0</v>
      </c>
      <c r="H365" s="152">
        <v>0</v>
      </c>
      <c r="I365" s="216">
        <v>0</v>
      </c>
      <c r="J365" s="595"/>
      <c r="K365" s="121" t="s">
        <v>71</v>
      </c>
      <c r="L365" s="118" t="s">
        <v>580</v>
      </c>
    </row>
    <row r="366" spans="1:13" ht="12.75" customHeight="1" x14ac:dyDescent="0.45">
      <c r="A366" s="221" t="s">
        <v>504</v>
      </c>
      <c r="B366" s="391"/>
      <c r="C366" s="391">
        <v>50</v>
      </c>
      <c r="D366" s="392"/>
      <c r="E366" s="152"/>
      <c r="F366" s="152">
        <v>-1400</v>
      </c>
      <c r="G366" s="152">
        <v>0</v>
      </c>
      <c r="H366" s="152">
        <v>0</v>
      </c>
      <c r="I366" s="216">
        <v>0</v>
      </c>
      <c r="J366" s="595"/>
      <c r="K366" s="121" t="s">
        <v>71</v>
      </c>
      <c r="L366" s="118" t="s">
        <v>505</v>
      </c>
      <c r="M366" s="805" t="s">
        <v>595</v>
      </c>
    </row>
    <row r="367" spans="1:13" ht="12.75" customHeight="1" x14ac:dyDescent="0.45">
      <c r="A367" s="221" t="s">
        <v>646</v>
      </c>
      <c r="B367" s="391"/>
      <c r="C367" s="391">
        <v>50</v>
      </c>
      <c r="D367" s="392"/>
      <c r="E367" s="152"/>
      <c r="F367" s="152"/>
      <c r="G367" s="152"/>
      <c r="H367" s="152"/>
      <c r="I367" s="216"/>
      <c r="J367" s="595"/>
      <c r="K367" s="121" t="s">
        <v>71</v>
      </c>
      <c r="L367" s="118" t="s">
        <v>774</v>
      </c>
    </row>
    <row r="368" spans="1:13" ht="12.75" customHeight="1" x14ac:dyDescent="0.45">
      <c r="A368" s="221" t="s">
        <v>766</v>
      </c>
      <c r="B368" s="391"/>
      <c r="C368" s="391">
        <v>50</v>
      </c>
      <c r="D368" s="392"/>
      <c r="E368" s="152"/>
      <c r="F368" s="152">
        <v>1752</v>
      </c>
      <c r="G368" s="152">
        <v>122</v>
      </c>
      <c r="H368" s="152">
        <v>122</v>
      </c>
      <c r="I368" s="216">
        <v>122</v>
      </c>
      <c r="J368" s="595"/>
      <c r="K368" s="121" t="s">
        <v>71</v>
      </c>
      <c r="L368" s="118" t="s">
        <v>931</v>
      </c>
    </row>
    <row r="369" spans="1:12" ht="12.75" customHeight="1" x14ac:dyDescent="0.45">
      <c r="A369" s="221" t="s">
        <v>769</v>
      </c>
      <c r="B369" s="391"/>
      <c r="C369" s="391">
        <v>50</v>
      </c>
      <c r="D369" s="392"/>
      <c r="E369" s="152"/>
      <c r="F369" s="152">
        <v>846</v>
      </c>
      <c r="G369" s="152">
        <v>844</v>
      </c>
      <c r="H369" s="152">
        <v>844</v>
      </c>
      <c r="I369" s="216">
        <v>844</v>
      </c>
      <c r="K369" s="121" t="s">
        <v>71</v>
      </c>
      <c r="L369" s="118" t="s">
        <v>770</v>
      </c>
    </row>
    <row r="370" spans="1:12" ht="12.75" customHeight="1" x14ac:dyDescent="0.45">
      <c r="A370" s="221" t="s">
        <v>777</v>
      </c>
      <c r="B370" s="391"/>
      <c r="C370" s="391">
        <v>50</v>
      </c>
      <c r="D370" s="392"/>
      <c r="E370" s="152"/>
      <c r="F370" s="152">
        <v>18</v>
      </c>
      <c r="G370" s="152">
        <v>25</v>
      </c>
      <c r="H370" s="152">
        <v>26</v>
      </c>
      <c r="I370" s="216">
        <v>27</v>
      </c>
      <c r="K370" s="121" t="s">
        <v>71</v>
      </c>
      <c r="L370" s="118" t="s">
        <v>778</v>
      </c>
    </row>
    <row r="371" spans="1:12" ht="12.75" customHeight="1" x14ac:dyDescent="0.45">
      <c r="A371" s="221" t="s">
        <v>789</v>
      </c>
      <c r="B371" s="391"/>
      <c r="C371" s="391">
        <v>50</v>
      </c>
      <c r="D371" s="392"/>
      <c r="E371" s="152"/>
      <c r="F371" s="152">
        <v>0</v>
      </c>
      <c r="G371" s="152">
        <v>2</v>
      </c>
      <c r="H371" s="152">
        <v>2</v>
      </c>
      <c r="I371" s="216">
        <v>2</v>
      </c>
      <c r="K371" s="121" t="s">
        <v>71</v>
      </c>
      <c r="L371" s="118" t="s">
        <v>790</v>
      </c>
    </row>
    <row r="372" spans="1:12" ht="12.75" customHeight="1" x14ac:dyDescent="0.45">
      <c r="A372" s="221" t="s">
        <v>829</v>
      </c>
      <c r="B372" s="391"/>
      <c r="C372" s="391">
        <v>50</v>
      </c>
      <c r="D372" s="392"/>
      <c r="E372" s="152"/>
      <c r="F372" s="152">
        <v>788</v>
      </c>
      <c r="G372" s="152">
        <v>848</v>
      </c>
      <c r="H372" s="152">
        <v>902</v>
      </c>
      <c r="I372" s="216">
        <v>902</v>
      </c>
      <c r="K372" s="121" t="s">
        <v>71</v>
      </c>
      <c r="L372" s="118" t="s">
        <v>931</v>
      </c>
    </row>
    <row r="373" spans="1:12" ht="14.25" x14ac:dyDescent="0.45">
      <c r="A373" s="221" t="s">
        <v>912</v>
      </c>
      <c r="B373" s="391"/>
      <c r="C373" s="391">
        <v>50</v>
      </c>
      <c r="D373" s="392"/>
      <c r="E373" s="152"/>
      <c r="F373" s="152">
        <v>-1382</v>
      </c>
      <c r="G373" s="152">
        <v>-1382</v>
      </c>
      <c r="H373" s="152">
        <v>-1382</v>
      </c>
      <c r="I373" s="216">
        <v>-1382</v>
      </c>
      <c r="K373" s="121" t="s">
        <v>71</v>
      </c>
      <c r="L373" s="118" t="s">
        <v>911</v>
      </c>
    </row>
    <row r="374" spans="1:12" ht="12.6" customHeight="1" thickBot="1" x14ac:dyDescent="0.5">
      <c r="A374" s="119"/>
      <c r="B374" s="120"/>
      <c r="C374" s="120"/>
      <c r="D374" s="120"/>
      <c r="E374" s="395"/>
      <c r="F374" s="396"/>
      <c r="G374" s="396"/>
      <c r="H374" s="396"/>
      <c r="I374" s="397"/>
      <c r="K374" s="829"/>
    </row>
    <row r="375" spans="1:12" ht="12.75" customHeight="1" x14ac:dyDescent="0.35"/>
    <row r="376" spans="1:12" ht="14.25" x14ac:dyDescent="0.45">
      <c r="F376" s="818">
        <f>SUBTOTAL(9,F14:F373)</f>
        <v>-270666</v>
      </c>
      <c r="G376" s="818">
        <f>SUBTOTAL(9,G14:G373)</f>
        <v>-254509</v>
      </c>
      <c r="H376" s="818">
        <f>SUBTOTAL(9,H14:H373)</f>
        <v>-243915</v>
      </c>
      <c r="I376" s="818">
        <f>SUBTOTAL(9,I14:I373)</f>
        <v>-232228</v>
      </c>
    </row>
    <row r="377" spans="1:12" x14ac:dyDescent="0.35">
      <c r="B377" s="28" t="s">
        <v>939</v>
      </c>
      <c r="F377" s="105">
        <f>F12-F376</f>
        <v>4</v>
      </c>
      <c r="G377" s="105">
        <f>G12-G376</f>
        <v>4</v>
      </c>
      <c r="H377" s="105">
        <f>H12-H376</f>
        <v>4</v>
      </c>
      <c r="I377" s="105">
        <f>I12-I376</f>
        <v>4</v>
      </c>
    </row>
    <row r="378" spans="1:12" ht="14.25" x14ac:dyDescent="0.45">
      <c r="B378" s="28"/>
      <c r="D378" s="152"/>
      <c r="F378" s="152"/>
      <c r="G378" s="105"/>
      <c r="H378" s="105"/>
      <c r="I378" s="105"/>
    </row>
    <row r="379" spans="1:12" ht="14.25" x14ac:dyDescent="0.45">
      <c r="B379" s="28"/>
      <c r="D379" s="152"/>
      <c r="F379" s="152"/>
    </row>
    <row r="380" spans="1:12" x14ac:dyDescent="0.35">
      <c r="E380"/>
    </row>
    <row r="381" spans="1:12" ht="14.25" x14ac:dyDescent="0.45">
      <c r="B381" s="28"/>
      <c r="D381" s="152"/>
      <c r="F381" s="152"/>
      <c r="G381" s="152"/>
      <c r="H381" s="152"/>
      <c r="I381" s="152"/>
    </row>
    <row r="382" spans="1:12" ht="14.25" x14ac:dyDescent="0.45">
      <c r="B382" s="28"/>
      <c r="D382" s="152"/>
      <c r="F382" s="152"/>
      <c r="G382" s="152"/>
      <c r="H382" s="152"/>
      <c r="I382" s="152"/>
    </row>
    <row r="383" spans="1:12" x14ac:dyDescent="0.35">
      <c r="B383" s="28"/>
      <c r="F383" s="105"/>
      <c r="G383" s="105"/>
      <c r="H383" s="105"/>
      <c r="I383" s="105"/>
      <c r="J383" s="28"/>
    </row>
    <row r="384" spans="1:12" x14ac:dyDescent="0.35">
      <c r="B384" s="28"/>
      <c r="F384" s="105"/>
      <c r="G384" s="105"/>
      <c r="H384" s="105"/>
      <c r="I384" s="105"/>
    </row>
    <row r="385" spans="2:9" x14ac:dyDescent="0.35">
      <c r="B385" s="28"/>
      <c r="F385" s="105"/>
      <c r="G385" s="105"/>
      <c r="H385" s="105"/>
      <c r="I385" s="105"/>
    </row>
    <row r="386" spans="2:9" ht="14.25" x14ac:dyDescent="0.45">
      <c r="B386" s="28"/>
      <c r="D386" s="152"/>
      <c r="F386" s="152"/>
      <c r="G386" s="152"/>
      <c r="H386" s="152"/>
      <c r="I386" s="152"/>
    </row>
    <row r="388" spans="2:9" x14ac:dyDescent="0.35">
      <c r="F388" s="105"/>
      <c r="G388" s="105"/>
      <c r="H388" s="105"/>
      <c r="I388" s="105"/>
    </row>
  </sheetData>
  <autoFilter ref="A13:Q374" xr:uid="{00000000-0009-0000-0000-000008000000}"/>
  <sortState xmlns:xlrd2="http://schemas.microsoft.com/office/spreadsheetml/2017/richdata2" ref="A116:B136">
    <sortCondition ref="A136"/>
  </sortState>
  <mergeCells count="2">
    <mergeCell ref="A2:I2"/>
    <mergeCell ref="A8:B8"/>
  </mergeCells>
  <phoneticPr fontId="0" type="noConversion"/>
  <pageMargins left="0.39370078740157483" right="0.39370078740157483" top="0.74803149606299213" bottom="0.74803149606299213" header="0.31496062992125984" footer="0.31496062992125984"/>
  <pageSetup paperSize="9" scale="87" fitToHeight="12" orientation="landscape" r:id="rId1"/>
  <headerFooter>
    <oddFooter>&amp;L&amp;D&amp;T&amp;CSide &amp;P af &amp;N&amp;R&amp;F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IT71"/>
  <sheetViews>
    <sheetView topLeftCell="A46" zoomScale="94" zoomScaleNormal="94" workbookViewId="0">
      <selection activeCell="K18" sqref="K18"/>
    </sheetView>
  </sheetViews>
  <sheetFormatPr defaultColWidth="8.53125" defaultRowHeight="13.15" x14ac:dyDescent="0.4"/>
  <cols>
    <col min="1" max="1" width="36.53125" style="300" customWidth="1"/>
    <col min="2" max="2" width="35.53125" style="300" customWidth="1"/>
    <col min="3" max="3" width="10.46484375" hidden="1" customWidth="1"/>
    <col min="4" max="4" width="12.53125" style="300" bestFit="1" customWidth="1"/>
    <col min="5" max="5" width="12.53125" bestFit="1" customWidth="1"/>
    <col min="6" max="6" width="12.46484375" style="300" bestFit="1" customWidth="1"/>
    <col min="7" max="7" width="12.46484375" style="300" customWidth="1"/>
    <col min="8" max="8" width="16.46484375" style="28" customWidth="1"/>
    <col min="9" max="9" width="11.46484375" customWidth="1"/>
    <col min="10" max="11" width="8.46484375" customWidth="1"/>
    <col min="12" max="12" width="10.53125" customWidth="1"/>
    <col min="13" max="17" width="8.53125" customWidth="1"/>
  </cols>
  <sheetData>
    <row r="2" spans="1:254" ht="68.25" customHeight="1" x14ac:dyDescent="0.6">
      <c r="A2" s="980" t="s">
        <v>50</v>
      </c>
      <c r="B2" s="987"/>
      <c r="C2" s="987"/>
      <c r="D2" s="987"/>
      <c r="E2" s="987"/>
      <c r="F2" s="987"/>
      <c r="G2" s="987"/>
    </row>
    <row r="4" spans="1:254" ht="15.4" thickBot="1" x14ac:dyDescent="0.45">
      <c r="A4" s="298" t="s">
        <v>61</v>
      </c>
      <c r="B4" s="298"/>
      <c r="C4" s="298"/>
      <c r="D4" s="298"/>
      <c r="E4" s="298"/>
      <c r="F4" s="298"/>
      <c r="G4" s="298"/>
      <c r="H4" s="677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</row>
    <row r="5" spans="1:254" ht="17.649999999999999" thickTop="1" x14ac:dyDescent="0.45">
      <c r="A5" s="299"/>
      <c r="C5" s="300"/>
      <c r="E5" s="300"/>
    </row>
    <row r="6" spans="1:254" ht="21" customHeight="1" x14ac:dyDescent="0.45">
      <c r="A6" s="299" t="s">
        <v>25</v>
      </c>
      <c r="C6" s="300"/>
      <c r="E6" s="300"/>
      <c r="G6"/>
    </row>
    <row r="7" spans="1:254" x14ac:dyDescent="0.4">
      <c r="A7" s="979">
        <f ca="1">NOW()</f>
        <v>46283.024673842592</v>
      </c>
      <c r="B7" s="979"/>
      <c r="E7" s="300"/>
    </row>
    <row r="8" spans="1:254" ht="7.5" customHeight="1" x14ac:dyDescent="0.45">
      <c r="A8"/>
      <c r="C8" s="383"/>
      <c r="E8" s="300"/>
    </row>
    <row r="9" spans="1:254" ht="15.75" customHeight="1" thickBot="1" x14ac:dyDescent="0.45">
      <c r="A9" s="301" t="s">
        <v>61</v>
      </c>
      <c r="C9" s="300"/>
      <c r="E9" s="300"/>
    </row>
    <row r="10" spans="1:254" ht="16.350000000000001" customHeight="1" thickBot="1" x14ac:dyDescent="0.45">
      <c r="A10" s="384" t="s">
        <v>64</v>
      </c>
      <c r="B10" s="385"/>
      <c r="C10" s="386">
        <v>2010</v>
      </c>
      <c r="D10" s="386">
        <f>+'Budgetforslag 2027-2030'!C3</f>
        <v>2027</v>
      </c>
      <c r="E10" s="386">
        <f>D10+1</f>
        <v>2028</v>
      </c>
      <c r="F10" s="386">
        <f>E10+1</f>
        <v>2029</v>
      </c>
      <c r="G10" s="387">
        <f>F10+1</f>
        <v>2030</v>
      </c>
      <c r="I10" s="28"/>
      <c r="J10" s="28"/>
      <c r="K10" s="28"/>
      <c r="L10" s="28"/>
      <c r="M10" s="28"/>
    </row>
    <row r="11" spans="1:254" ht="16.350000000000001" customHeight="1" thickBot="1" x14ac:dyDescent="0.45">
      <c r="A11" s="398"/>
      <c r="B11" s="385"/>
      <c r="C11" s="399"/>
      <c r="D11" s="400">
        <f>('Vedtaget budget i 2026'!C10+'Vedtaget budget i 2026'!C12+'Vedtaget budget i 2026'!C14+'Vedtaget budget i 2026'!C25+'Vedtaget budget i 2026'!C26+'Vedtaget budget i 2026'!C27+'Vedtaget budget i 2026'!C11)*1000</f>
        <v>-4474933.0000000009</v>
      </c>
      <c r="E11" s="400">
        <f>('Vedtaget budget i 2026'!D10+'Vedtaget budget i 2026'!D12+'Vedtaget budget i 2026'!D14+'Vedtaget budget i 2026'!D25+'Vedtaget budget i 2026'!D26+'Vedtaget budget i 2026'!D27)*1000</f>
        <v>-4662764.0000000009</v>
      </c>
      <c r="F11" s="400">
        <f>('Vedtaget budget i 2026'!E10+'Vedtaget budget i 2026'!E12+'Vedtaget budget i 2026'!E14+'Vedtaget budget i 2026'!E25+'Vedtaget budget i 2026'!E26+'Vedtaget budget i 2026'!E27)*1000</f>
        <v>-4821193.0000000009</v>
      </c>
      <c r="G11" s="401">
        <f>('Vedtaget budget i 2026'!F10+'Vedtaget budget i 2026'!F12+'Vedtaget budget i 2026'!F14+'Vedtaget budget i 2026'!F25+'Vedtaget budget i 2026'!F26+'Vedtaget budget i 2026'!F27)*1000</f>
        <v>-4821193.0000000009</v>
      </c>
    </row>
    <row r="12" spans="1:254" ht="12.75" customHeight="1" thickBot="1" x14ac:dyDescent="0.4">
      <c r="A12" s="402"/>
      <c r="B12" s="403"/>
      <c r="C12" s="404"/>
      <c r="D12" s="405"/>
      <c r="E12" s="405"/>
      <c r="F12" s="405"/>
      <c r="G12" s="406"/>
    </row>
    <row r="13" spans="1:254" ht="15.4" thickBot="1" x14ac:dyDescent="0.45">
      <c r="A13" s="407" t="s">
        <v>1</v>
      </c>
      <c r="B13" s="385"/>
      <c r="C13" s="399">
        <f>SUM(C14:C20)</f>
        <v>0</v>
      </c>
      <c r="D13" s="400">
        <f>SUM(D14:D25)</f>
        <v>-125937</v>
      </c>
      <c r="E13" s="400">
        <f>SUM(E14:E25)</f>
        <v>860</v>
      </c>
      <c r="F13" s="400">
        <f>SUM(F14:F25)</f>
        <v>-24818</v>
      </c>
      <c r="G13" s="400">
        <f>SUM(G14:G25)</f>
        <v>-238840</v>
      </c>
      <c r="H13" s="122"/>
      <c r="I13" s="408"/>
    </row>
    <row r="14" spans="1:254" ht="12.75" customHeight="1" x14ac:dyDescent="0.4">
      <c r="A14" s="409"/>
      <c r="B14" s="377"/>
      <c r="C14" s="410"/>
      <c r="D14" s="411"/>
      <c r="E14" s="411"/>
      <c r="F14" s="411"/>
      <c r="G14" s="412"/>
      <c r="I14" s="408"/>
    </row>
    <row r="15" spans="1:254" ht="12.75" customHeight="1" x14ac:dyDescent="0.45">
      <c r="A15" s="132" t="s">
        <v>374</v>
      </c>
      <c r="B15" s="391"/>
      <c r="C15" s="392"/>
      <c r="D15" s="152"/>
      <c r="E15" s="152"/>
      <c r="F15" s="152"/>
      <c r="G15" s="216">
        <f>prisfremskrivning!K7*1000*-1</f>
        <v>-149089</v>
      </c>
      <c r="I15" s="425" t="s">
        <v>384</v>
      </c>
      <c r="J15" s="152"/>
    </row>
    <row r="16" spans="1:254" ht="12.75" customHeight="1" x14ac:dyDescent="0.45">
      <c r="A16" s="132" t="s">
        <v>374</v>
      </c>
      <c r="B16" s="391"/>
      <c r="C16" s="392"/>
      <c r="D16" s="152"/>
      <c r="E16" s="152"/>
      <c r="F16" s="152"/>
      <c r="G16" s="216">
        <v>-5381</v>
      </c>
      <c r="I16" s="425" t="s">
        <v>385</v>
      </c>
    </row>
    <row r="17" spans="1:13" ht="12.75" customHeight="1" x14ac:dyDescent="0.45">
      <c r="A17" s="132" t="s">
        <v>374</v>
      </c>
      <c r="B17" s="391"/>
      <c r="C17" s="392"/>
      <c r="D17" s="152"/>
      <c r="E17" s="152"/>
      <c r="F17" s="152"/>
      <c r="G17" s="216">
        <v>6525</v>
      </c>
      <c r="I17" s="28" t="s">
        <v>773</v>
      </c>
      <c r="L17" s="152"/>
      <c r="M17" s="148"/>
    </row>
    <row r="18" spans="1:13" ht="12.75" customHeight="1" x14ac:dyDescent="0.45">
      <c r="A18" s="132" t="s">
        <v>819</v>
      </c>
      <c r="B18" s="421"/>
      <c r="C18" s="422"/>
      <c r="D18" s="423">
        <v>-127308</v>
      </c>
      <c r="E18" s="423">
        <v>-217591</v>
      </c>
      <c r="F18" s="423">
        <v>-119375</v>
      </c>
      <c r="G18" s="424">
        <v>-191560</v>
      </c>
      <c r="M18" s="148"/>
    </row>
    <row r="19" spans="1:13" s="148" customFormat="1" ht="12.75" customHeight="1" x14ac:dyDescent="0.45">
      <c r="A19" s="132" t="s">
        <v>898</v>
      </c>
      <c r="B19" s="391"/>
      <c r="C19" s="392"/>
      <c r="D19" s="116">
        <v>-2061</v>
      </c>
      <c r="E19" s="116">
        <v>-2061</v>
      </c>
      <c r="F19" s="116">
        <v>-2061</v>
      </c>
      <c r="G19" s="117">
        <v>-2061</v>
      </c>
      <c r="H19" s="28"/>
      <c r="I19"/>
      <c r="J19"/>
      <c r="K19"/>
      <c r="L19"/>
    </row>
    <row r="20" spans="1:13" s="148" customFormat="1" ht="12.75" customHeight="1" x14ac:dyDescent="0.45">
      <c r="A20" s="132" t="s">
        <v>900</v>
      </c>
      <c r="B20" s="391" t="s">
        <v>899</v>
      </c>
      <c r="C20" s="392"/>
      <c r="D20" s="116">
        <v>3432</v>
      </c>
      <c r="E20" s="116">
        <v>0</v>
      </c>
      <c r="F20" s="116">
        <v>0</v>
      </c>
      <c r="G20" s="117">
        <v>0</v>
      </c>
      <c r="H20" s="28"/>
      <c r="I20"/>
      <c r="J20"/>
      <c r="K20"/>
      <c r="L20"/>
    </row>
    <row r="21" spans="1:13" s="148" customFormat="1" ht="12.75" customHeight="1" x14ac:dyDescent="0.45">
      <c r="A21" s="132"/>
      <c r="B21" s="391"/>
      <c r="C21" s="392"/>
      <c r="D21" s="116"/>
      <c r="E21" s="116"/>
      <c r="F21" s="116"/>
      <c r="G21" s="117"/>
      <c r="H21" s="28"/>
      <c r="I21"/>
      <c r="J21"/>
      <c r="K21"/>
      <c r="L21"/>
    </row>
    <row r="22" spans="1:13" s="148" customFormat="1" ht="12.75" customHeight="1" x14ac:dyDescent="0.45">
      <c r="A22" s="132" t="s">
        <v>1063</v>
      </c>
      <c r="B22" s="391"/>
      <c r="C22" s="392"/>
      <c r="D22" s="425"/>
      <c r="E22" s="152">
        <v>120397</v>
      </c>
      <c r="F22" s="152">
        <v>107944</v>
      </c>
      <c r="G22" s="216">
        <v>118965</v>
      </c>
      <c r="H22" s="28"/>
      <c r="I22"/>
      <c r="J22"/>
      <c r="K22"/>
      <c r="L22"/>
    </row>
    <row r="23" spans="1:13" s="148" customFormat="1" ht="12.75" customHeight="1" x14ac:dyDescent="0.45">
      <c r="A23" s="132" t="s">
        <v>1064</v>
      </c>
      <c r="B23" s="391"/>
      <c r="C23" s="392"/>
      <c r="D23" s="152"/>
      <c r="E23" s="152">
        <v>100115</v>
      </c>
      <c r="F23" s="975"/>
      <c r="G23" s="216"/>
      <c r="I23"/>
      <c r="J23"/>
      <c r="K23"/>
      <c r="L23"/>
    </row>
    <row r="24" spans="1:13" s="148" customFormat="1" ht="12.75" customHeight="1" x14ac:dyDescent="0.45">
      <c r="A24" s="132" t="s">
        <v>1065</v>
      </c>
      <c r="B24" s="28"/>
      <c r="C24" s="28"/>
      <c r="D24" s="28"/>
      <c r="E24" s="28"/>
      <c r="F24" s="152">
        <v>-11326</v>
      </c>
      <c r="G24" s="216">
        <v>-16239</v>
      </c>
      <c r="I24"/>
      <c r="J24"/>
      <c r="K24"/>
      <c r="L24"/>
    </row>
    <row r="25" spans="1:13" s="148" customFormat="1" ht="12.75" customHeight="1" thickBot="1" x14ac:dyDescent="0.5">
      <c r="A25" s="132"/>
      <c r="B25" s="391"/>
      <c r="C25" s="392"/>
      <c r="D25" s="116"/>
      <c r="E25" s="116"/>
      <c r="F25" s="116"/>
      <c r="G25" s="117"/>
      <c r="I25"/>
      <c r="J25"/>
      <c r="K25"/>
      <c r="L25"/>
    </row>
    <row r="26" spans="1:13" s="148" customFormat="1" ht="12.75" customHeight="1" thickBot="1" x14ac:dyDescent="0.55000000000000004">
      <c r="A26" s="407" t="s">
        <v>266</v>
      </c>
      <c r="B26" s="693"/>
      <c r="C26" s="560"/>
      <c r="D26" s="694">
        <f>SUM(D28:D29)</f>
        <v>0</v>
      </c>
      <c r="E26" s="694">
        <f>SUM(E28:E29)</f>
        <v>0</v>
      </c>
      <c r="F26" s="694">
        <f>SUM(F28:F29)</f>
        <v>0</v>
      </c>
      <c r="G26" s="694">
        <f>SUM(G28:G29)</f>
        <v>0</v>
      </c>
      <c r="I26"/>
      <c r="J26"/>
      <c r="K26"/>
      <c r="L26"/>
    </row>
    <row r="27" spans="1:13" s="148" customFormat="1" ht="12.75" customHeight="1" x14ac:dyDescent="0.45">
      <c r="A27" s="656"/>
      <c r="C27" s="392"/>
      <c r="D27" s="116"/>
      <c r="E27" s="116"/>
      <c r="F27" s="116"/>
      <c r="G27" s="117"/>
      <c r="I27"/>
      <c r="J27"/>
      <c r="K27"/>
      <c r="L27"/>
    </row>
    <row r="28" spans="1:13" s="148" customFormat="1" ht="12.75" customHeight="1" x14ac:dyDescent="0.45">
      <c r="A28" s="132"/>
      <c r="B28" s="391"/>
      <c r="C28" s="392"/>
      <c r="D28" s="116"/>
      <c r="E28" s="116"/>
      <c r="F28" s="116"/>
      <c r="G28" s="117"/>
      <c r="I28"/>
      <c r="J28"/>
      <c r="K28"/>
      <c r="L28"/>
    </row>
    <row r="29" spans="1:13" ht="14.65" thickBot="1" x14ac:dyDescent="0.5">
      <c r="A29" s="988"/>
      <c r="B29" s="989"/>
      <c r="C29" s="413"/>
      <c r="D29" s="414"/>
      <c r="E29" s="414"/>
      <c r="F29" s="414"/>
      <c r="G29" s="415"/>
    </row>
    <row r="30" spans="1:13" ht="15.75" customHeight="1" thickBot="1" x14ac:dyDescent="0.45">
      <c r="A30" s="407" t="s">
        <v>2</v>
      </c>
      <c r="B30" s="385"/>
      <c r="C30" s="399">
        <f>SUM(C31:C41)</f>
        <v>0</v>
      </c>
      <c r="D30" s="400">
        <f>SUM(D32:D41)</f>
        <v>222053</v>
      </c>
      <c r="E30" s="400">
        <f>SUM(E32:E41)</f>
        <v>272746</v>
      </c>
      <c r="F30" s="400">
        <f>SUM(F32:F41)</f>
        <v>336263</v>
      </c>
      <c r="G30" s="401">
        <f>SUM(G32:G41)</f>
        <v>390616</v>
      </c>
    </row>
    <row r="31" spans="1:13" ht="12.75" customHeight="1" x14ac:dyDescent="0.45">
      <c r="A31" s="416"/>
      <c r="B31" s="417"/>
      <c r="C31" s="418"/>
      <c r="D31" s="419"/>
      <c r="E31" s="419"/>
      <c r="F31" s="419"/>
      <c r="G31" s="420"/>
    </row>
    <row r="32" spans="1:13" s="148" customFormat="1" ht="12.75" customHeight="1" x14ac:dyDescent="0.45">
      <c r="A32" s="132" t="s">
        <v>819</v>
      </c>
      <c r="B32" s="391"/>
      <c r="C32" s="392"/>
      <c r="D32" s="116">
        <v>225485</v>
      </c>
      <c r="E32" s="116">
        <v>456797</v>
      </c>
      <c r="F32" s="116">
        <v>419942</v>
      </c>
      <c r="G32" s="117">
        <v>477132</v>
      </c>
      <c r="H32" s="28"/>
      <c r="I32"/>
      <c r="J32"/>
      <c r="K32"/>
      <c r="L32"/>
    </row>
    <row r="33" spans="1:12" ht="14.25" x14ac:dyDescent="0.45">
      <c r="A33" s="132" t="s">
        <v>898</v>
      </c>
      <c r="B33" s="391"/>
      <c r="C33" s="392"/>
      <c r="D33" s="116">
        <v>0</v>
      </c>
      <c r="E33" s="116">
        <v>-2149</v>
      </c>
      <c r="F33" s="116">
        <v>0</v>
      </c>
      <c r="G33" s="117">
        <v>0</v>
      </c>
    </row>
    <row r="34" spans="1:12" s="28" customFormat="1" ht="12.75" customHeight="1" x14ac:dyDescent="0.45">
      <c r="A34" s="132" t="s">
        <v>901</v>
      </c>
      <c r="B34" s="391" t="s">
        <v>899</v>
      </c>
      <c r="C34" s="280"/>
      <c r="D34" s="281">
        <v>-3432</v>
      </c>
      <c r="E34" s="281">
        <v>0</v>
      </c>
      <c r="F34" s="281">
        <v>0</v>
      </c>
      <c r="G34" s="117">
        <v>0</v>
      </c>
      <c r="I34"/>
      <c r="J34"/>
      <c r="K34"/>
      <c r="L34"/>
    </row>
    <row r="35" spans="1:12" s="28" customFormat="1" ht="12.75" customHeight="1" x14ac:dyDescent="0.45">
      <c r="A35" s="132" t="s">
        <v>983</v>
      </c>
      <c r="B35" s="219"/>
      <c r="C35" s="280"/>
      <c r="D35" s="116">
        <v>0</v>
      </c>
      <c r="E35" s="281">
        <v>-149</v>
      </c>
      <c r="F35" s="281">
        <v>0</v>
      </c>
      <c r="G35" s="117">
        <v>0</v>
      </c>
      <c r="I35"/>
      <c r="J35"/>
      <c r="K35"/>
      <c r="L35"/>
    </row>
    <row r="36" spans="1:12" s="28" customFormat="1" ht="12.75" customHeight="1" x14ac:dyDescent="0.45">
      <c r="A36" s="132"/>
      <c r="B36" s="219"/>
      <c r="C36" s="280"/>
      <c r="D36" s="116"/>
      <c r="E36" s="281"/>
      <c r="F36" s="281"/>
      <c r="G36" s="117"/>
      <c r="I36"/>
      <c r="J36"/>
      <c r="K36"/>
      <c r="L36"/>
    </row>
    <row r="37" spans="1:12" s="28" customFormat="1" ht="12.75" customHeight="1" x14ac:dyDescent="0.45">
      <c r="A37" s="132" t="s">
        <v>1066</v>
      </c>
      <c r="B37" s="368"/>
      <c r="C37" s="655"/>
      <c r="D37" s="152"/>
      <c r="E37" s="428">
        <v>-58689</v>
      </c>
      <c r="F37" s="428">
        <v>-49929</v>
      </c>
      <c r="G37" s="216">
        <v>-59642</v>
      </c>
      <c r="I37"/>
      <c r="J37"/>
      <c r="K37"/>
      <c r="L37"/>
    </row>
    <row r="38" spans="1:12" s="28" customFormat="1" ht="12.75" customHeight="1" x14ac:dyDescent="0.45">
      <c r="A38" s="132" t="s">
        <v>1067</v>
      </c>
      <c r="B38" s="368"/>
      <c r="C38" s="655"/>
      <c r="D38" s="152"/>
      <c r="E38" s="428">
        <v>-70938</v>
      </c>
      <c r="F38" s="428">
        <v>-37213</v>
      </c>
      <c r="G38" s="216">
        <v>-31821</v>
      </c>
      <c r="I38"/>
      <c r="J38"/>
      <c r="K38"/>
      <c r="L38"/>
    </row>
    <row r="39" spans="1:12" s="717" customFormat="1" ht="12.75" customHeight="1" x14ac:dyDescent="0.45">
      <c r="A39" s="132" t="s">
        <v>1064</v>
      </c>
      <c r="B39" s="391"/>
      <c r="C39" s="392"/>
      <c r="D39" s="152"/>
      <c r="E39" s="152">
        <v>-52126</v>
      </c>
      <c r="F39" s="152"/>
      <c r="G39" s="216"/>
      <c r="H39" s="148"/>
      <c r="I39"/>
      <c r="J39"/>
      <c r="K39"/>
      <c r="L39"/>
    </row>
    <row r="40" spans="1:12" s="717" customFormat="1" ht="12.75" customHeight="1" x14ac:dyDescent="0.45">
      <c r="A40" s="132" t="s">
        <v>1068</v>
      </c>
      <c r="B40" s="391"/>
      <c r="C40" s="392"/>
      <c r="D40" s="152"/>
      <c r="E40" s="152"/>
      <c r="F40" s="152">
        <v>3463</v>
      </c>
      <c r="G40" s="216">
        <v>4947</v>
      </c>
      <c r="H40" s="148"/>
      <c r="I40"/>
      <c r="J40"/>
      <c r="K40"/>
      <c r="L40"/>
    </row>
    <row r="41" spans="1:12" ht="12.75" customHeight="1" thickBot="1" x14ac:dyDescent="0.5">
      <c r="A41" s="346"/>
      <c r="B41" s="426"/>
      <c r="C41" s="427"/>
      <c r="D41" s="116"/>
      <c r="E41" s="116"/>
      <c r="F41" s="116"/>
      <c r="G41" s="216"/>
    </row>
    <row r="42" spans="1:12" ht="15.4" thickBot="1" x14ac:dyDescent="0.45">
      <c r="A42" s="407" t="s">
        <v>26</v>
      </c>
      <c r="B42" s="385"/>
      <c r="C42" s="399">
        <f>SUM(C43:C48)</f>
        <v>0</v>
      </c>
      <c r="D42" s="400">
        <f>SUM(D43:D48)</f>
        <v>11922</v>
      </c>
      <c r="E42" s="400">
        <f>SUM(E43:E48)</f>
        <v>-12925</v>
      </c>
      <c r="F42" s="400">
        <f>SUM(F43:F48)</f>
        <v>-502</v>
      </c>
      <c r="G42" s="401">
        <f>SUM(G43:G48)</f>
        <v>-503</v>
      </c>
      <c r="H42" s="122"/>
    </row>
    <row r="43" spans="1:12" ht="12.75" customHeight="1" x14ac:dyDescent="0.45">
      <c r="A43" s="172"/>
      <c r="B43" s="114"/>
      <c r="C43" s="115"/>
      <c r="D43" s="116"/>
      <c r="E43" s="116"/>
      <c r="F43" s="116"/>
      <c r="G43" s="117"/>
    </row>
    <row r="44" spans="1:12" s="148" customFormat="1" ht="12.75" customHeight="1" x14ac:dyDescent="0.45">
      <c r="A44" s="990" t="s">
        <v>853</v>
      </c>
      <c r="B44" s="991"/>
      <c r="C44" s="496"/>
      <c r="D44" s="116">
        <v>-501</v>
      </c>
      <c r="E44" s="116">
        <v>-502</v>
      </c>
      <c r="F44" s="116">
        <v>-502</v>
      </c>
      <c r="G44" s="216">
        <v>-503</v>
      </c>
      <c r="H44" s="28"/>
    </row>
    <row r="45" spans="1:12" s="148" customFormat="1" ht="12.75" customHeight="1" x14ac:dyDescent="0.45">
      <c r="A45" s="990" t="s">
        <v>908</v>
      </c>
      <c r="B45" s="991"/>
      <c r="C45" s="496"/>
      <c r="D45" s="116">
        <v>5000</v>
      </c>
      <c r="E45" s="116">
        <v>-5000</v>
      </c>
      <c r="F45" s="116">
        <v>0</v>
      </c>
      <c r="G45" s="216">
        <v>0</v>
      </c>
      <c r="H45" s="28"/>
    </row>
    <row r="46" spans="1:12" ht="12.75" customHeight="1" x14ac:dyDescent="0.45">
      <c r="A46" s="132" t="s">
        <v>990</v>
      </c>
      <c r="B46" s="391"/>
      <c r="C46" s="392"/>
      <c r="D46" s="281">
        <v>7423</v>
      </c>
      <c r="E46" s="281">
        <v>-7423</v>
      </c>
      <c r="F46" s="281"/>
      <c r="G46" s="216"/>
    </row>
    <row r="47" spans="1:12" ht="12.75" customHeight="1" x14ac:dyDescent="0.45">
      <c r="A47" s="132"/>
      <c r="B47" s="391"/>
      <c r="C47" s="392"/>
      <c r="D47" s="281"/>
      <c r="E47" s="281"/>
      <c r="F47" s="281"/>
      <c r="G47" s="216"/>
    </row>
    <row r="48" spans="1:12" ht="12.75" customHeight="1" thickBot="1" x14ac:dyDescent="0.5">
      <c r="A48" s="132"/>
      <c r="B48" s="391"/>
      <c r="C48" s="392"/>
      <c r="D48" s="152"/>
      <c r="E48" s="152"/>
      <c r="F48" s="152"/>
      <c r="G48" s="216"/>
    </row>
    <row r="49" spans="1:9" ht="14.65" thickBot="1" x14ac:dyDescent="0.5">
      <c r="A49" s="429" t="s">
        <v>4</v>
      </c>
      <c r="B49" s="388"/>
      <c r="C49" s="430">
        <f>SUM(C50:C56)</f>
        <v>0</v>
      </c>
      <c r="D49" s="389">
        <f>SUM(D50:D56)</f>
        <v>-8987</v>
      </c>
      <c r="E49" s="389">
        <f>SUM(E50:E56)</f>
        <v>-8987</v>
      </c>
      <c r="F49" s="389">
        <f>SUM(F50:F56)</f>
        <v>-8987</v>
      </c>
      <c r="G49" s="390">
        <f>SUM(G50:G56)</f>
        <v>-8987</v>
      </c>
    </row>
    <row r="50" spans="1:9" ht="12.75" customHeight="1" x14ac:dyDescent="0.45">
      <c r="A50" s="635"/>
      <c r="B50" s="432"/>
      <c r="C50" s="433"/>
      <c r="D50" s="434"/>
      <c r="E50" s="434"/>
      <c r="F50" s="434"/>
      <c r="G50" s="435"/>
    </row>
    <row r="51" spans="1:9" s="28" customFormat="1" ht="12.75" customHeight="1" x14ac:dyDescent="0.45">
      <c r="A51" s="132" t="s">
        <v>621</v>
      </c>
      <c r="B51" s="391"/>
      <c r="C51" s="280"/>
      <c r="D51" s="281">
        <v>-6635</v>
      </c>
      <c r="E51" s="281">
        <v>-6635</v>
      </c>
      <c r="F51" s="281">
        <v>-6635</v>
      </c>
      <c r="G51" s="282">
        <v>-6635</v>
      </c>
    </row>
    <row r="52" spans="1:9" s="28" customFormat="1" ht="12.75" customHeight="1" x14ac:dyDescent="0.45">
      <c r="A52" s="132" t="s">
        <v>909</v>
      </c>
      <c r="B52" s="391"/>
      <c r="C52" s="280"/>
      <c r="D52" s="281">
        <v>-2352</v>
      </c>
      <c r="E52" s="281">
        <v>-2352</v>
      </c>
      <c r="F52" s="281">
        <v>-2352</v>
      </c>
      <c r="G52" s="282">
        <v>-2352</v>
      </c>
    </row>
    <row r="53" spans="1:9" s="28" customFormat="1" ht="12.75" customHeight="1" x14ac:dyDescent="0.45">
      <c r="A53" s="132"/>
      <c r="B53" s="219"/>
      <c r="C53" s="280"/>
      <c r="D53" s="281"/>
      <c r="E53" s="281"/>
      <c r="F53" s="281"/>
      <c r="G53" s="282"/>
    </row>
    <row r="54" spans="1:9" s="28" customFormat="1" ht="12.75" customHeight="1" x14ac:dyDescent="0.45">
      <c r="A54" s="132"/>
      <c r="B54" s="219"/>
      <c r="C54" s="280"/>
      <c r="D54" s="281"/>
      <c r="E54" s="281"/>
      <c r="F54" s="281"/>
      <c r="G54" s="282"/>
    </row>
    <row r="55" spans="1:9" s="28" customFormat="1" ht="12.75" customHeight="1" x14ac:dyDescent="0.45">
      <c r="A55" s="217"/>
      <c r="B55" s="219"/>
      <c r="C55" s="280"/>
      <c r="D55" s="281"/>
      <c r="E55" s="281"/>
      <c r="F55" s="281"/>
      <c r="G55" s="282"/>
    </row>
    <row r="56" spans="1:9" s="28" customFormat="1" ht="12.75" customHeight="1" thickBot="1" x14ac:dyDescent="0.5">
      <c r="A56" s="217"/>
      <c r="B56" s="219"/>
      <c r="C56" s="280"/>
      <c r="D56" s="281"/>
      <c r="E56" s="281"/>
      <c r="F56" s="281"/>
      <c r="G56" s="282"/>
      <c r="I56" s="276"/>
    </row>
    <row r="57" spans="1:9" ht="15.4" thickBot="1" x14ac:dyDescent="0.45">
      <c r="A57" s="407" t="s">
        <v>19</v>
      </c>
      <c r="B57" s="385"/>
      <c r="C57" s="399">
        <f>SUM(C58:C62)</f>
        <v>0</v>
      </c>
      <c r="D57" s="400">
        <f>SUM(D58:D62)</f>
        <v>2132</v>
      </c>
      <c r="E57" s="400">
        <f>SUM(E58:E62)</f>
        <v>2082</v>
      </c>
      <c r="F57" s="400">
        <f>SUM(F58:F62)</f>
        <v>2335</v>
      </c>
      <c r="G57" s="401">
        <f>SUM(G58:G62)</f>
        <v>2602</v>
      </c>
    </row>
    <row r="58" spans="1:9" ht="12.75" customHeight="1" x14ac:dyDescent="0.45">
      <c r="A58" s="132"/>
      <c r="B58" s="219"/>
      <c r="C58" s="280"/>
      <c r="D58" s="281"/>
      <c r="E58" s="281"/>
      <c r="F58" s="281"/>
      <c r="G58" s="282"/>
      <c r="I58" s="28"/>
    </row>
    <row r="59" spans="1:9" ht="12.75" customHeight="1" x14ac:dyDescent="0.45">
      <c r="A59" s="132" t="s">
        <v>621</v>
      </c>
      <c r="B59" s="219"/>
      <c r="C59" s="280"/>
      <c r="D59" s="281">
        <v>2132</v>
      </c>
      <c r="E59" s="281">
        <v>2082</v>
      </c>
      <c r="F59" s="281">
        <v>2335</v>
      </c>
      <c r="G59" s="282">
        <v>2602</v>
      </c>
      <c r="I59" s="28"/>
    </row>
    <row r="60" spans="1:9" ht="12.75" customHeight="1" x14ac:dyDescent="0.45">
      <c r="A60" s="132"/>
      <c r="B60" s="219"/>
      <c r="C60" s="280"/>
      <c r="D60" s="281"/>
      <c r="E60" s="281"/>
      <c r="F60" s="281"/>
      <c r="G60" s="282"/>
      <c r="I60" s="28"/>
    </row>
    <row r="61" spans="1:9" ht="12.75" customHeight="1" x14ac:dyDescent="0.45">
      <c r="A61" s="631"/>
      <c r="B61" s="219"/>
      <c r="C61" s="280"/>
      <c r="D61" s="281"/>
      <c r="E61" s="281"/>
      <c r="F61" s="281"/>
      <c r="G61" s="282"/>
      <c r="I61" s="283"/>
    </row>
    <row r="62" spans="1:9" ht="12.75" customHeight="1" thickBot="1" x14ac:dyDescent="0.45">
      <c r="A62" s="431"/>
      <c r="B62" s="421"/>
      <c r="C62" s="422"/>
      <c r="D62" s="423"/>
      <c r="E62" s="423"/>
      <c r="F62" s="423"/>
      <c r="G62" s="424"/>
    </row>
    <row r="63" spans="1:9" ht="15.4" thickBot="1" x14ac:dyDescent="0.45">
      <c r="A63" s="407" t="s">
        <v>12</v>
      </c>
      <c r="B63" s="385"/>
      <c r="C63" s="399">
        <f>SUM(C64:C70)</f>
        <v>0</v>
      </c>
      <c r="D63" s="400">
        <f>SUM(D64:D70)</f>
        <v>-1636</v>
      </c>
      <c r="E63" s="400">
        <f>SUM(E64:E70)</f>
        <v>-2665</v>
      </c>
      <c r="F63" s="400">
        <f>SUM(F64:F70)</f>
        <v>168</v>
      </c>
      <c r="G63" s="401">
        <f>SUM(G64:G70)</f>
        <v>3948</v>
      </c>
      <c r="H63" s="122"/>
      <c r="I63" s="96"/>
    </row>
    <row r="64" spans="1:9" ht="12.75" customHeight="1" x14ac:dyDescent="0.45">
      <c r="A64" s="635"/>
      <c r="B64" s="432"/>
      <c r="C64" s="433"/>
      <c r="D64" s="434"/>
      <c r="E64" s="434"/>
      <c r="F64" s="434"/>
      <c r="G64" s="435"/>
    </row>
    <row r="65" spans="1:9" ht="12.75" customHeight="1" x14ac:dyDescent="0.45">
      <c r="A65" s="990" t="s">
        <v>393</v>
      </c>
      <c r="B65" s="991"/>
      <c r="C65" s="280"/>
      <c r="D65" s="281">
        <v>-267</v>
      </c>
      <c r="E65" s="281">
        <v>-1296</v>
      </c>
      <c r="F65" s="281">
        <v>-220</v>
      </c>
      <c r="G65" s="282">
        <v>-220</v>
      </c>
      <c r="I65" s="28"/>
    </row>
    <row r="66" spans="1:9" ht="12.75" customHeight="1" x14ac:dyDescent="0.45">
      <c r="A66" s="727" t="s">
        <v>425</v>
      </c>
      <c r="B66" s="650"/>
      <c r="C66" s="280"/>
      <c r="D66" s="428">
        <v>0</v>
      </c>
      <c r="E66" s="428">
        <v>0</v>
      </c>
      <c r="F66" s="428">
        <v>0</v>
      </c>
      <c r="G66" s="282">
        <v>69982</v>
      </c>
      <c r="I66" s="28"/>
    </row>
    <row r="67" spans="1:9" ht="12.75" customHeight="1" x14ac:dyDescent="0.45">
      <c r="A67" s="132" t="s">
        <v>621</v>
      </c>
      <c r="B67" s="650"/>
      <c r="C67" s="280"/>
      <c r="D67" s="428">
        <v>-1369</v>
      </c>
      <c r="E67" s="428">
        <v>-1369</v>
      </c>
      <c r="F67" s="428">
        <v>388</v>
      </c>
      <c r="G67" s="282">
        <v>4168</v>
      </c>
      <c r="I67" s="28"/>
    </row>
    <row r="68" spans="1:9" ht="12.75" customHeight="1" x14ac:dyDescent="0.45">
      <c r="A68" s="727" t="s">
        <v>824</v>
      </c>
      <c r="B68" s="631"/>
      <c r="C68" s="280"/>
      <c r="D68" s="428">
        <v>0</v>
      </c>
      <c r="E68" s="428">
        <v>0</v>
      </c>
      <c r="F68" s="428">
        <v>0</v>
      </c>
      <c r="G68" s="282">
        <v>-69982</v>
      </c>
      <c r="I68" s="28"/>
    </row>
    <row r="69" spans="1:9" ht="12.75" customHeight="1" x14ac:dyDescent="0.45">
      <c r="A69" s="727"/>
      <c r="B69" s="654"/>
      <c r="C69" s="655"/>
      <c r="D69" s="428"/>
      <c r="E69" s="428"/>
      <c r="F69" s="428"/>
      <c r="G69" s="282"/>
      <c r="I69" s="28"/>
    </row>
    <row r="70" spans="1:9" ht="12.75" customHeight="1" thickBot="1" x14ac:dyDescent="0.5">
      <c r="A70" s="437"/>
      <c r="B70" s="231"/>
      <c r="C70" s="438"/>
      <c r="D70" s="439"/>
      <c r="E70" s="439"/>
      <c r="F70" s="439"/>
      <c r="G70" s="440"/>
    </row>
    <row r="71" spans="1:9" ht="17.649999999999999" thickBot="1" x14ac:dyDescent="0.5">
      <c r="A71" s="407" t="s">
        <v>28</v>
      </c>
      <c r="B71" s="385"/>
      <c r="C71" s="441">
        <f>C63+C57+C49+C42+C30+C13</f>
        <v>0</v>
      </c>
      <c r="D71" s="442">
        <f>D63+D57+D49+D42+D30+D13+D26</f>
        <v>99547</v>
      </c>
      <c r="E71" s="442">
        <f>E63+E57+E49+E42+E30+E13+E26</f>
        <v>251111</v>
      </c>
      <c r="F71" s="442">
        <f>F63+F57+F49+F42+F30+F13+F26</f>
        <v>304459</v>
      </c>
      <c r="G71" s="442">
        <f>G63+G57+G49+G42+G30+G13+G26</f>
        <v>148836</v>
      </c>
    </row>
  </sheetData>
  <mergeCells count="6">
    <mergeCell ref="A2:G2"/>
    <mergeCell ref="A29:B29"/>
    <mergeCell ref="A44:B44"/>
    <mergeCell ref="A45:B45"/>
    <mergeCell ref="A65:B65"/>
    <mergeCell ref="A7:B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Height="7" orientation="landscape" r:id="rId1"/>
  <headerFooter>
    <oddFooter>&amp;L&amp;D&amp;T&amp;CSide &amp;P af &amp;N&amp;R&amp;F</oddFooter>
  </headerFooter>
  <rowBreaks count="1" manualBreakCount="1">
    <brk id="28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1">
    <outlinePr summaryBelow="0" summaryRight="0"/>
    <pageSetUpPr autoPageBreaks="0" fitToPage="1"/>
  </sheetPr>
  <dimension ref="A2:M39"/>
  <sheetViews>
    <sheetView workbookViewId="0"/>
  </sheetViews>
  <sheetFormatPr defaultRowHeight="12.75" x14ac:dyDescent="0.35"/>
  <cols>
    <col min="1" max="1" width="33.46484375" customWidth="1"/>
    <col min="2" max="2" width="16.46484375" bestFit="1" customWidth="1"/>
    <col min="3" max="3" width="16.53125" customWidth="1"/>
    <col min="4" max="5" width="15.46484375" customWidth="1"/>
    <col min="6" max="6" width="16.53125" customWidth="1"/>
    <col min="8" max="8" width="20.1328125" bestFit="1" customWidth="1"/>
    <col min="9" max="9" width="11.46484375" bestFit="1" customWidth="1"/>
    <col min="10" max="10" width="15.46484375" bestFit="1" customWidth="1"/>
  </cols>
  <sheetData>
    <row r="2" spans="1:13" ht="22.5" x14ac:dyDescent="0.6">
      <c r="A2" s="40" t="s">
        <v>47</v>
      </c>
    </row>
    <row r="4" spans="1:13" x14ac:dyDescent="0.35">
      <c r="A4" t="s">
        <v>48</v>
      </c>
    </row>
    <row r="5" spans="1:13" ht="13.15" thickBot="1" x14ac:dyDescent="0.4">
      <c r="A5" s="26"/>
      <c r="B5" s="28"/>
    </row>
    <row r="6" spans="1:13" ht="13.15" thickBot="1" x14ac:dyDescent="0.4">
      <c r="B6" s="320"/>
      <c r="C6" s="319" t="s">
        <v>330</v>
      </c>
      <c r="D6" s="275"/>
      <c r="E6" s="275"/>
      <c r="F6" s="633"/>
      <c r="G6" s="321"/>
    </row>
    <row r="7" spans="1:13" ht="13.5" thickBot="1" x14ac:dyDescent="0.45">
      <c r="A7" s="9" t="s">
        <v>339</v>
      </c>
      <c r="B7" s="445">
        <v>2026</v>
      </c>
      <c r="C7" s="274">
        <f>+'Budgetforslag 2027-2030'!C3</f>
        <v>2027</v>
      </c>
      <c r="D7" s="274">
        <f>+C7+1</f>
        <v>2028</v>
      </c>
      <c r="E7" s="274">
        <f>+D7+1</f>
        <v>2029</v>
      </c>
      <c r="F7" s="473">
        <f>+E7+1</f>
        <v>2030</v>
      </c>
      <c r="J7" s="148"/>
    </row>
    <row r="8" spans="1:13" ht="13.5" thickBot="1" x14ac:dyDescent="0.45">
      <c r="A8" s="264"/>
      <c r="B8" s="446" t="s">
        <v>979</v>
      </c>
      <c r="C8" s="992" t="s">
        <v>18</v>
      </c>
      <c r="D8" s="993"/>
      <c r="E8" s="993"/>
      <c r="F8" s="994"/>
      <c r="J8" s="148"/>
    </row>
    <row r="9" spans="1:13" ht="13.15" x14ac:dyDescent="0.4">
      <c r="A9" s="10" t="s">
        <v>0</v>
      </c>
      <c r="B9" s="503"/>
      <c r="C9" s="20"/>
      <c r="D9" s="20"/>
      <c r="E9" s="20"/>
      <c r="F9" s="34"/>
      <c r="I9" s="28"/>
      <c r="J9" s="148"/>
    </row>
    <row r="10" spans="1:13" ht="13.15" x14ac:dyDescent="0.4">
      <c r="A10" s="11" t="s">
        <v>1</v>
      </c>
      <c r="B10" s="739">
        <v>-4299.018</v>
      </c>
      <c r="C10" s="267">
        <f>-4565.354</f>
        <v>-4565.3540000000003</v>
      </c>
      <c r="D10" s="267">
        <v>-4752.3490000000002</v>
      </c>
      <c r="E10" s="267">
        <v>-4813.5630000000001</v>
      </c>
      <c r="F10" s="268">
        <v>-4813.5630000000001</v>
      </c>
      <c r="G10" s="28"/>
    </row>
    <row r="11" spans="1:13" ht="13.15" x14ac:dyDescent="0.4">
      <c r="A11" s="11" t="s">
        <v>264</v>
      </c>
      <c r="B11" s="739">
        <v>0</v>
      </c>
      <c r="C11" s="267"/>
      <c r="D11" s="267"/>
      <c r="E11" s="267"/>
      <c r="F11" s="268"/>
      <c r="G11" s="28"/>
    </row>
    <row r="12" spans="1:13" ht="13.15" x14ac:dyDescent="0.4">
      <c r="A12" s="11" t="s">
        <v>2</v>
      </c>
      <c r="B12" s="739">
        <f>793.962-947.078</f>
        <v>-153.11599999999999</v>
      </c>
      <c r="C12" s="267">
        <v>80.528999999999996</v>
      </c>
      <c r="D12" s="267">
        <v>78.343999999999994</v>
      </c>
      <c r="E12" s="267">
        <v>-19.122</v>
      </c>
      <c r="F12" s="268">
        <v>-19.122</v>
      </c>
      <c r="G12" s="93"/>
    </row>
    <row r="13" spans="1:13" ht="13.15" x14ac:dyDescent="0.4">
      <c r="A13" s="11" t="s">
        <v>3</v>
      </c>
      <c r="B13" s="775">
        <f>5327.409-1102.328</f>
        <v>4225.0810000000001</v>
      </c>
      <c r="C13" s="19">
        <v>4289.915</v>
      </c>
      <c r="D13" s="19">
        <v>4286.4840000000004</v>
      </c>
      <c r="E13" s="20">
        <v>4291.8999999999996</v>
      </c>
      <c r="F13" s="35">
        <v>4291.8999999999996</v>
      </c>
      <c r="G13" s="93"/>
      <c r="I13" s="148"/>
      <c r="J13" s="148"/>
      <c r="K13" s="267"/>
      <c r="L13" s="267"/>
    </row>
    <row r="14" spans="1:13" ht="13.5" thickBot="1" x14ac:dyDescent="0.45">
      <c r="A14" s="11" t="s">
        <v>4</v>
      </c>
      <c r="B14" s="739">
        <f>10.444-12.585</f>
        <v>-2.141</v>
      </c>
      <c r="C14" s="19">
        <v>3.3410000000000002</v>
      </c>
      <c r="D14" s="19">
        <v>3.391</v>
      </c>
      <c r="E14" s="19">
        <v>3.4409999999999998</v>
      </c>
      <c r="F14" s="35">
        <v>3.4409999999999998</v>
      </c>
      <c r="G14" s="93"/>
      <c r="H14" s="1"/>
      <c r="M14" s="37" t="s">
        <v>155</v>
      </c>
    </row>
    <row r="15" spans="1:13" ht="13.5" thickBot="1" x14ac:dyDescent="0.45">
      <c r="A15" s="27" t="s">
        <v>5</v>
      </c>
      <c r="B15" s="504">
        <f>SUM(B10:B14)</f>
        <v>-229.19399999999987</v>
      </c>
      <c r="C15" s="99">
        <f>SUM(C10:C14)</f>
        <v>-191.56900000000076</v>
      </c>
      <c r="D15" s="99">
        <f>SUM(D10:D14)</f>
        <v>-384.12999999999971</v>
      </c>
      <c r="E15" s="99">
        <f>SUM(E10:E14)</f>
        <v>-537.34400000000073</v>
      </c>
      <c r="F15" s="269">
        <f>SUM(F10:F14)</f>
        <v>-537.34400000000073</v>
      </c>
      <c r="G15" s="1"/>
      <c r="H15" s="129"/>
      <c r="I15" s="1"/>
    </row>
    <row r="16" spans="1:13" ht="13.15" x14ac:dyDescent="0.4">
      <c r="A16" s="11" t="s">
        <v>156</v>
      </c>
      <c r="B16" s="775">
        <f>355.084-41.771</f>
        <v>313.31299999999999</v>
      </c>
      <c r="C16" s="323">
        <v>541.54600000000005</v>
      </c>
      <c r="D16" s="324">
        <v>278.80700000000002</v>
      </c>
      <c r="E16" s="639">
        <v>242.38200000000001</v>
      </c>
      <c r="F16" s="325">
        <v>0</v>
      </c>
      <c r="G16" s="93"/>
      <c r="H16" s="1"/>
      <c r="I16" s="782"/>
      <c r="J16" s="783"/>
      <c r="K16" s="783"/>
      <c r="L16" s="783"/>
    </row>
    <row r="17" spans="1:10" ht="13.5" thickBot="1" x14ac:dyDescent="0.45">
      <c r="A17" s="11" t="s">
        <v>152</v>
      </c>
      <c r="B17" s="261">
        <v>0</v>
      </c>
      <c r="C17" s="326">
        <v>0</v>
      </c>
      <c r="D17" s="33"/>
      <c r="E17" s="33"/>
      <c r="F17" s="36"/>
      <c r="G17" s="93"/>
      <c r="H17" s="1"/>
      <c r="I17" s="1"/>
    </row>
    <row r="18" spans="1:10" ht="13.5" thickBot="1" x14ac:dyDescent="0.45">
      <c r="A18" s="13" t="s">
        <v>6</v>
      </c>
      <c r="B18" s="505">
        <f>B15+B16</f>
        <v>84.119000000000113</v>
      </c>
      <c r="C18" s="272">
        <f>C15+C16</f>
        <v>349.97699999999929</v>
      </c>
      <c r="D18" s="271">
        <f>D15+D16+D17</f>
        <v>-105.32299999999969</v>
      </c>
      <c r="E18" s="271">
        <f>E15+E16+E17</f>
        <v>-294.96200000000073</v>
      </c>
      <c r="F18" s="270">
        <f>F15+F16+F17</f>
        <v>-537.34400000000073</v>
      </c>
      <c r="G18" s="1"/>
      <c r="H18" s="1"/>
      <c r="I18" s="449"/>
    </row>
    <row r="19" spans="1:10" ht="13.15" x14ac:dyDescent="0.4">
      <c r="A19" s="31"/>
      <c r="B19" s="261"/>
      <c r="C19" s="19"/>
      <c r="D19" s="19"/>
      <c r="E19" s="19"/>
      <c r="F19" s="35"/>
      <c r="G19" s="1"/>
      <c r="H19" s="1"/>
      <c r="I19" s="1"/>
    </row>
    <row r="20" spans="1:10" ht="13.5" thickBot="1" x14ac:dyDescent="0.45">
      <c r="A20" s="11" t="s">
        <v>24</v>
      </c>
      <c r="B20" s="506">
        <v>0</v>
      </c>
      <c r="C20" s="20">
        <v>0</v>
      </c>
      <c r="D20" s="267">
        <v>156.46</v>
      </c>
      <c r="E20" s="267">
        <v>316.88299999999998</v>
      </c>
      <c r="F20" s="681">
        <v>465.971</v>
      </c>
      <c r="G20" s="1"/>
      <c r="H20" s="1"/>
      <c r="I20" s="1"/>
    </row>
    <row r="21" spans="1:10" ht="13.5" thickBot="1" x14ac:dyDescent="0.45">
      <c r="A21" s="14" t="s">
        <v>7</v>
      </c>
      <c r="B21" s="507">
        <f>B18</f>
        <v>84.119000000000113</v>
      </c>
      <c r="C21" s="271">
        <f>C18+C20</f>
        <v>349.97699999999929</v>
      </c>
      <c r="D21" s="271">
        <f>D18+D20</f>
        <v>51.137000000000313</v>
      </c>
      <c r="E21" s="271">
        <f>E18+E20</f>
        <v>21.920999999999253</v>
      </c>
      <c r="F21" s="270">
        <f>F18+F20</f>
        <v>-71.373000000000729</v>
      </c>
      <c r="G21" s="1"/>
      <c r="H21" s="1"/>
      <c r="I21" s="1"/>
      <c r="J21" s="18"/>
    </row>
    <row r="22" spans="1:10" ht="13.5" thickBot="1" x14ac:dyDescent="0.45">
      <c r="A22" s="263"/>
      <c r="B22" s="508"/>
      <c r="C22" s="100"/>
      <c r="D22" s="100"/>
      <c r="E22" s="100"/>
      <c r="F22" s="265"/>
      <c r="G22" s="1"/>
      <c r="H22" s="1"/>
      <c r="I22" s="1"/>
    </row>
    <row r="23" spans="1:10" ht="13.15" x14ac:dyDescent="0.4">
      <c r="A23" s="15" t="s">
        <v>8</v>
      </c>
      <c r="B23" s="509"/>
      <c r="C23" s="327"/>
      <c r="D23" s="24"/>
      <c r="E23" s="24"/>
      <c r="F23" s="325"/>
      <c r="G23" s="1"/>
      <c r="H23" s="1"/>
      <c r="I23" s="1"/>
    </row>
    <row r="24" spans="1:10" ht="13.15" x14ac:dyDescent="0.4">
      <c r="A24" s="11" t="s">
        <v>9</v>
      </c>
      <c r="B24" s="466">
        <f>+B21+B17</f>
        <v>84.119000000000113</v>
      </c>
      <c r="C24" s="328">
        <f>+C21+C17</f>
        <v>349.97699999999929</v>
      </c>
      <c r="D24" s="19">
        <f>+D21+D17</f>
        <v>51.137000000000313</v>
      </c>
      <c r="E24" s="19">
        <f>+E21+E17</f>
        <v>21.920999999999253</v>
      </c>
      <c r="F24" s="329">
        <f>+F21+F17</f>
        <v>-71.373000000000729</v>
      </c>
      <c r="G24" s="1"/>
      <c r="H24" s="1"/>
      <c r="I24" s="449"/>
    </row>
    <row r="25" spans="1:10" ht="13.15" x14ac:dyDescent="0.4">
      <c r="A25" s="11" t="s">
        <v>10</v>
      </c>
      <c r="B25" s="739">
        <v>-29.225999999999999</v>
      </c>
      <c r="C25" s="328">
        <v>-14.522</v>
      </c>
      <c r="D25" s="19">
        <v>-14.522</v>
      </c>
      <c r="E25" s="19">
        <v>-14.522</v>
      </c>
      <c r="F25" s="35">
        <v>-14.522</v>
      </c>
      <c r="G25" s="93"/>
      <c r="H25" s="1"/>
      <c r="I25" s="1"/>
    </row>
    <row r="26" spans="1:10" ht="13.15" x14ac:dyDescent="0.4">
      <c r="A26" s="11" t="s">
        <v>11</v>
      </c>
      <c r="B26" s="739">
        <v>35.369</v>
      </c>
      <c r="C26" s="328">
        <v>32.15</v>
      </c>
      <c r="D26" s="19">
        <v>32.65</v>
      </c>
      <c r="E26" s="19">
        <v>33.15</v>
      </c>
      <c r="F26" s="35">
        <v>33.15</v>
      </c>
      <c r="G26" s="93"/>
      <c r="H26" s="1"/>
      <c r="I26" s="1"/>
    </row>
    <row r="27" spans="1:10" ht="13.5" thickBot="1" x14ac:dyDescent="0.45">
      <c r="A27" s="12" t="s">
        <v>233</v>
      </c>
      <c r="B27" s="740">
        <v>57.884999999999998</v>
      </c>
      <c r="C27" s="330">
        <v>-11.077</v>
      </c>
      <c r="D27" s="32">
        <v>-10.278</v>
      </c>
      <c r="E27" s="32">
        <v>-10.577</v>
      </c>
      <c r="F27" s="36">
        <v>-10.577</v>
      </c>
      <c r="G27" s="93"/>
      <c r="H27" s="93"/>
    </row>
    <row r="28" spans="1:10" ht="13.5" thickBot="1" x14ac:dyDescent="0.45">
      <c r="A28" s="14" t="s">
        <v>13</v>
      </c>
      <c r="B28" s="258">
        <f>SUM(B24:B27)</f>
        <v>148.14700000000011</v>
      </c>
      <c r="C28" s="725">
        <f>SUM(C24:C27)</f>
        <v>356.52799999999928</v>
      </c>
      <c r="D28" s="447">
        <f>SUM(D24:D27)</f>
        <v>58.987000000000315</v>
      </c>
      <c r="E28" s="447">
        <f>SUM(E24:E27)</f>
        <v>29.971999999999255</v>
      </c>
      <c r="F28" s="448">
        <f>SUM(F24:F27)</f>
        <v>-63.322000000000735</v>
      </c>
      <c r="G28" s="449"/>
      <c r="H28" s="450"/>
      <c r="I28" s="451"/>
    </row>
    <row r="29" spans="1:10" ht="13.5" thickBot="1" x14ac:dyDescent="0.45">
      <c r="A29" s="263"/>
      <c r="B29" s="99"/>
      <c r="C29" s="100"/>
      <c r="D29" s="100"/>
      <c r="E29" s="100"/>
      <c r="F29" s="265"/>
      <c r="G29" s="1"/>
      <c r="H29" s="135"/>
      <c r="I29" s="1"/>
    </row>
    <row r="30" spans="1:10" ht="13.5" thickBot="1" x14ac:dyDescent="0.45">
      <c r="A30" s="14" t="s">
        <v>14</v>
      </c>
      <c r="B30" s="254"/>
      <c r="C30" s="25"/>
      <c r="D30" s="25"/>
      <c r="E30" s="25"/>
      <c r="F30" s="104"/>
      <c r="G30" s="1"/>
      <c r="H30" s="449"/>
      <c r="I30" s="134"/>
    </row>
    <row r="31" spans="1:10" ht="13.5" thickBot="1" x14ac:dyDescent="0.45">
      <c r="A31" s="266"/>
      <c r="B31" s="101"/>
      <c r="C31" s="102"/>
      <c r="D31" s="102"/>
      <c r="E31" s="102"/>
      <c r="F31" s="265"/>
      <c r="G31" s="1"/>
      <c r="H31" s="93"/>
      <c r="I31" s="134"/>
    </row>
    <row r="32" spans="1:10" ht="13.15" x14ac:dyDescent="0.4">
      <c r="A32" s="16" t="s">
        <v>15</v>
      </c>
      <c r="B32" s="43"/>
      <c r="C32" s="24"/>
      <c r="D32" s="24"/>
      <c r="E32" s="24"/>
      <c r="F32" s="35"/>
      <c r="G32" s="1"/>
      <c r="H32" s="278" t="s">
        <v>165</v>
      </c>
      <c r="I32" s="134"/>
      <c r="J32" s="28" t="s">
        <v>166</v>
      </c>
    </row>
    <row r="33" spans="1:10" ht="13.15" x14ac:dyDescent="0.4">
      <c r="A33" s="11" t="s">
        <v>16</v>
      </c>
      <c r="B33" s="634">
        <v>25.6</v>
      </c>
      <c r="C33" s="467"/>
      <c r="D33" s="467"/>
      <c r="E33" s="468"/>
      <c r="F33" s="470"/>
      <c r="G33" s="1"/>
      <c r="H33" s="93" t="s">
        <v>273</v>
      </c>
      <c r="I33" s="134"/>
      <c r="J33" s="105">
        <v>521440</v>
      </c>
    </row>
    <row r="34" spans="1:10" ht="13.15" x14ac:dyDescent="0.4">
      <c r="A34" s="11" t="s">
        <v>17</v>
      </c>
      <c r="B34" s="634">
        <v>20.65</v>
      </c>
      <c r="C34" s="467"/>
      <c r="D34" s="467"/>
      <c r="E34" s="468"/>
      <c r="F34" s="469"/>
      <c r="G34" s="1"/>
      <c r="H34" s="93" t="s">
        <v>331</v>
      </c>
      <c r="I34" s="134"/>
      <c r="J34" s="105">
        <v>565094</v>
      </c>
    </row>
    <row r="35" spans="1:10" ht="13.15" x14ac:dyDescent="0.4">
      <c r="A35" s="11" t="s">
        <v>184</v>
      </c>
      <c r="B35" s="632">
        <f>641.568-B25-B26</f>
        <v>635.42499999999995</v>
      </c>
      <c r="C35" s="37">
        <f>B35-C25-C26</f>
        <v>617.79700000000003</v>
      </c>
      <c r="D35" s="37">
        <f>C35-D25-D26</f>
        <v>599.6690000000001</v>
      </c>
      <c r="E35" s="37">
        <f>D35-E25-E26</f>
        <v>581.04100000000017</v>
      </c>
      <c r="F35" s="35">
        <f>E35-F25-F26</f>
        <v>562.41300000000024</v>
      </c>
      <c r="G35" s="1"/>
      <c r="H35" s="93" t="s">
        <v>332</v>
      </c>
      <c r="I35" s="134"/>
      <c r="J35" s="105">
        <v>608406</v>
      </c>
    </row>
    <row r="36" spans="1:10" ht="13.5" thickBot="1" x14ac:dyDescent="0.45">
      <c r="A36" s="12"/>
      <c r="B36" s="42"/>
      <c r="C36" s="38"/>
      <c r="D36" s="38"/>
      <c r="E36" s="33"/>
      <c r="F36" s="36"/>
      <c r="G36" s="1"/>
      <c r="H36" s="93" t="s">
        <v>333</v>
      </c>
      <c r="I36" s="134"/>
      <c r="J36" s="105"/>
    </row>
    <row r="37" spans="1:10" ht="13.15" hidden="1" thickBot="1" x14ac:dyDescent="0.4">
      <c r="A37" s="12" t="s">
        <v>20</v>
      </c>
      <c r="B37" s="44"/>
      <c r="C37" s="21"/>
      <c r="D37" s="21"/>
      <c r="E37" s="22"/>
      <c r="F37" s="1"/>
      <c r="G37" s="1"/>
      <c r="H37" s="93" t="s">
        <v>200</v>
      </c>
      <c r="I37" s="134"/>
    </row>
    <row r="38" spans="1:10" x14ac:dyDescent="0.35">
      <c r="A38" s="17"/>
      <c r="B38" s="1"/>
      <c r="C38" s="1"/>
      <c r="D38" s="1"/>
      <c r="E38" s="1"/>
      <c r="F38" s="1"/>
      <c r="G38" s="1"/>
      <c r="H38" s="93" t="s">
        <v>334</v>
      </c>
      <c r="I38" s="1"/>
    </row>
    <row r="39" spans="1:10" x14ac:dyDescent="0.35">
      <c r="A39" s="28" t="s">
        <v>68</v>
      </c>
      <c r="B39" s="1"/>
      <c r="C39" s="1"/>
      <c r="D39" s="1"/>
      <c r="E39" s="1"/>
      <c r="F39" s="1"/>
      <c r="G39" s="1"/>
      <c r="H39" s="93"/>
      <c r="I39" s="1"/>
    </row>
  </sheetData>
  <mergeCells count="1">
    <mergeCell ref="C8:F8"/>
  </mergeCells>
  <phoneticPr fontId="52" type="noConversion"/>
  <printOptions horizontalCentered="1"/>
  <pageMargins left="0.9055118110236221" right="1.1811023622047245" top="0.51181102362204722" bottom="0.31496062992125984" header="0.15748031496062992" footer="0.15748031496062992"/>
  <pageSetup paperSize="9" orientation="landscape" r:id="rId1"/>
  <headerFooter alignWithMargins="0">
    <oddFooter>&amp;L&amp;"Arial"&amp;6 &amp;D kl. &amp;T&amp;R&amp;"Arial"&amp;6 &amp;F</oddFoot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30"/>
  <sheetViews>
    <sheetView workbookViewId="0"/>
  </sheetViews>
  <sheetFormatPr defaultRowHeight="12.75" x14ac:dyDescent="0.35"/>
  <cols>
    <col min="1" max="1" width="81.86328125" customWidth="1"/>
    <col min="3" max="3" width="13.46484375" bestFit="1" customWidth="1"/>
    <col min="4" max="6" width="13.53125" bestFit="1" customWidth="1"/>
  </cols>
  <sheetData>
    <row r="1" spans="1:6" ht="20.65" x14ac:dyDescent="0.6">
      <c r="A1" s="72" t="s">
        <v>32</v>
      </c>
      <c r="B1" s="96"/>
    </row>
    <row r="2" spans="1:6" ht="13.15" x14ac:dyDescent="0.4">
      <c r="B2" s="7"/>
    </row>
    <row r="3" spans="1:6" ht="13.5" thickBot="1" x14ac:dyDescent="0.45">
      <c r="B3" s="7"/>
    </row>
    <row r="4" spans="1:6" ht="18" thickBot="1" x14ac:dyDescent="0.55000000000000004">
      <c r="A4" s="78"/>
      <c r="B4" s="79"/>
      <c r="C4" s="79">
        <f>+'Budgetforslag 2027-2030'!C3</f>
        <v>2027</v>
      </c>
      <c r="D4" s="79">
        <f>+C4+1</f>
        <v>2028</v>
      </c>
      <c r="E4" s="79">
        <f>+D4+1</f>
        <v>2029</v>
      </c>
      <c r="F4" s="80">
        <f>+E4+1</f>
        <v>2030</v>
      </c>
    </row>
    <row r="5" spans="1:6" ht="17.649999999999999" x14ac:dyDescent="0.5">
      <c r="A5" s="695" t="s">
        <v>326</v>
      </c>
      <c r="B5" s="79"/>
      <c r="C5" s="696">
        <f>'Vedtaget budget i 2026'!C30</f>
        <v>0</v>
      </c>
      <c r="D5" s="696">
        <f>'Vedtaget budget i 2026'!D30</f>
        <v>0</v>
      </c>
      <c r="E5" s="696">
        <f>'Vedtaget budget i 2026'!E30</f>
        <v>0</v>
      </c>
      <c r="F5" s="107">
        <f>'Vedtaget budget i 2026'!F30</f>
        <v>0</v>
      </c>
    </row>
    <row r="6" spans="1:6" ht="17.649999999999999" x14ac:dyDescent="0.5">
      <c r="A6" s="701"/>
      <c r="B6" s="702"/>
      <c r="C6" s="703"/>
      <c r="D6" s="704"/>
      <c r="E6" s="704"/>
      <c r="F6" s="705"/>
    </row>
    <row r="7" spans="1:6" ht="17.649999999999999" x14ac:dyDescent="0.5">
      <c r="A7" s="706" t="s">
        <v>40</v>
      </c>
      <c r="B7" s="84"/>
      <c r="C7" s="90">
        <f>prisfremskrivning!E39</f>
        <v>0</v>
      </c>
      <c r="D7" s="90">
        <f>+prisfremskrivning!F39-'Vedtaget budget i 2026'!D20</f>
        <v>-36.838000000000008</v>
      </c>
      <c r="E7" s="90">
        <f>+prisfremskrivning!G39-'Vedtaget budget i 2026'!E20</f>
        <v>-66.617999999999995</v>
      </c>
      <c r="F7" s="707">
        <f>+prisfremskrivning!H39-'Vedtaget budget i 2026'!F20</f>
        <v>-76.721000000000004</v>
      </c>
    </row>
    <row r="8" spans="1:6" ht="17.649999999999999" x14ac:dyDescent="0.5">
      <c r="A8" s="706" t="s">
        <v>41</v>
      </c>
      <c r="B8" s="84"/>
      <c r="C8" s="153">
        <f>'Tekniske korrektioner'!F12/1000+'Tekniske korrektioner'!E12/1000+I8</f>
        <v>-270.66199999999998</v>
      </c>
      <c r="D8" s="90">
        <f>'Tekniske korrektioner'!G12/1000</f>
        <v>-254.505</v>
      </c>
      <c r="E8" s="90">
        <f>'Tekniske korrektioner'!H12/1000</f>
        <v>-243.911</v>
      </c>
      <c r="F8" s="707">
        <f>'Tekniske korrektioner'!I12/1000</f>
        <v>-232.22399999999999</v>
      </c>
    </row>
    <row r="9" spans="1:6" ht="17.649999999999999" x14ac:dyDescent="0.5">
      <c r="A9" s="706" t="s">
        <v>82</v>
      </c>
      <c r="B9" s="84"/>
      <c r="C9" s="153">
        <f>Aktivitetsudvidelser!F12/1000</f>
        <v>58.892000000000003</v>
      </c>
      <c r="D9" s="90">
        <f>Aktivitetsudvidelser!G12/1000</f>
        <v>82.885999999999996</v>
      </c>
      <c r="E9" s="90">
        <f>Aktivitetsudvidelser!H12/1000</f>
        <v>80.576999999999998</v>
      </c>
      <c r="F9" s="707">
        <f>Aktivitetsudvidelser!I12/1000</f>
        <v>59.984000000000002</v>
      </c>
    </row>
    <row r="10" spans="1:6" ht="17.649999999999999" x14ac:dyDescent="0.5">
      <c r="A10" s="706" t="s">
        <v>42</v>
      </c>
      <c r="B10" s="84"/>
      <c r="C10" s="153">
        <f>Finansieringsforslag!H11/1000</f>
        <v>-88.754000000000005</v>
      </c>
      <c r="D10" s="90">
        <f>Finansieringsforslag!I11/1000</f>
        <v>-60.374000000000002</v>
      </c>
      <c r="E10" s="90">
        <f>Finansieringsforslag!J11/1000</f>
        <v>-62.673999999999999</v>
      </c>
      <c r="F10" s="707">
        <f>Finansieringsforslag!K11/1000</f>
        <v>-59.548999999999999</v>
      </c>
    </row>
    <row r="11" spans="1:6" ht="17.649999999999999" x14ac:dyDescent="0.5">
      <c r="A11" s="706" t="s">
        <v>90</v>
      </c>
      <c r="B11" s="84"/>
      <c r="C11" s="153">
        <f>'Afledt drift'!E12/1000</f>
        <v>-1.407</v>
      </c>
      <c r="D11" s="90">
        <f>'Afledt drift'!F12/1000</f>
        <v>-1.0649999999999999</v>
      </c>
      <c r="E11" s="90">
        <f>'Afledt drift'!G12/1000</f>
        <v>0.69599999999999995</v>
      </c>
      <c r="F11" s="707">
        <f>'Afledt drift'!H12/1000</f>
        <v>8.5000000000000006E-2</v>
      </c>
    </row>
    <row r="12" spans="1:6" ht="17.649999999999999" x14ac:dyDescent="0.5">
      <c r="A12" s="706" t="s">
        <v>274</v>
      </c>
      <c r="B12" s="293" t="s">
        <v>179</v>
      </c>
      <c r="C12" s="90">
        <f>(Anlægsønsker!D14)/1000</f>
        <v>164.99864400000001</v>
      </c>
      <c r="D12" s="90">
        <f>(Anlægsønsker!E14)/1000</f>
        <v>636.02622499999995</v>
      </c>
      <c r="E12" s="90">
        <f>(Anlægsønsker!F14)/1000</f>
        <v>259.04908</v>
      </c>
      <c r="F12" s="707">
        <f>(Anlægsønsker!G14)/1000</f>
        <v>198.834799</v>
      </c>
    </row>
    <row r="13" spans="1:6" ht="17.649999999999999" x14ac:dyDescent="0.5">
      <c r="A13" s="706" t="s">
        <v>274</v>
      </c>
      <c r="B13" s="293" t="s">
        <v>180</v>
      </c>
      <c r="C13" s="90">
        <f>Anlægsønsker!D15/1000</f>
        <v>-10.8</v>
      </c>
      <c r="D13" s="90">
        <f>Anlægsønsker!E15/1000</f>
        <v>-3.5</v>
      </c>
      <c r="E13" s="90">
        <f>Anlægsønsker!F15/1000</f>
        <v>-10.5</v>
      </c>
      <c r="F13" s="707">
        <f>Anlægsønsker!G15/1000</f>
        <v>0</v>
      </c>
    </row>
    <row r="14" spans="1:6" ht="17.649999999999999" x14ac:dyDescent="0.5">
      <c r="A14" s="706" t="s">
        <v>275</v>
      </c>
      <c r="B14" s="293" t="s">
        <v>179</v>
      </c>
      <c r="C14" s="90">
        <f>Anlægsønsker!D116/1000</f>
        <v>24.204540999999999</v>
      </c>
      <c r="D14" s="90">
        <f>Anlægsønsker!E116/1000</f>
        <v>69.562793999999997</v>
      </c>
      <c r="E14" s="90">
        <f>Anlægsønsker!F116/1000</f>
        <v>54.503551999999999</v>
      </c>
      <c r="F14" s="707">
        <f>Anlægsønsker!G116/1000</f>
        <v>31.481999999999999</v>
      </c>
    </row>
    <row r="15" spans="1:6" ht="17.649999999999999" x14ac:dyDescent="0.5">
      <c r="A15" s="706" t="s">
        <v>275</v>
      </c>
      <c r="B15" s="293" t="s">
        <v>180</v>
      </c>
      <c r="C15" s="90">
        <f>Anlægsønsker!D117/1000</f>
        <v>-0.9</v>
      </c>
      <c r="D15" s="90">
        <f>Anlægsønsker!E117/1000</f>
        <v>-5.5449999999999999</v>
      </c>
      <c r="E15" s="90">
        <f>Anlægsønsker!F117/1000</f>
        <v>-0.14499999999999999</v>
      </c>
      <c r="F15" s="707">
        <f>Anlægsønsker!G117/1000</f>
        <v>0</v>
      </c>
    </row>
    <row r="16" spans="1:6" ht="17.649999999999999" x14ac:dyDescent="0.5">
      <c r="A16" s="706" t="s">
        <v>33</v>
      </c>
      <c r="B16" s="84"/>
      <c r="C16" s="90">
        <f>'Korrektioner vedr. finansiering'!D13/1000</f>
        <v>-125.937</v>
      </c>
      <c r="D16" s="90">
        <f>'Korrektioner vedr. finansiering'!E13/1000</f>
        <v>0.86</v>
      </c>
      <c r="E16" s="90">
        <f>'Korrektioner vedr. finansiering'!F13/1000</f>
        <v>-24.818000000000001</v>
      </c>
      <c r="F16" s="707">
        <f>'Korrektioner vedr. finansiering'!G13/1000</f>
        <v>-238.84</v>
      </c>
    </row>
    <row r="17" spans="1:6" ht="17.649999999999999" x14ac:dyDescent="0.5">
      <c r="A17" s="706" t="s">
        <v>267</v>
      </c>
      <c r="B17" s="84"/>
      <c r="C17" s="90">
        <f>'Korrektioner vedr. finansiering'!D26/1000</f>
        <v>0</v>
      </c>
      <c r="D17" s="90">
        <f>'Korrektioner vedr. finansiering'!E26/1000</f>
        <v>0</v>
      </c>
      <c r="E17" s="90">
        <f>'Korrektioner vedr. finansiering'!F26/1000</f>
        <v>0</v>
      </c>
      <c r="F17" s="707">
        <f>'Korrektioner vedr. finansiering'!G26/1000</f>
        <v>0</v>
      </c>
    </row>
    <row r="18" spans="1:6" ht="17.649999999999999" x14ac:dyDescent="0.5">
      <c r="A18" s="706" t="s">
        <v>34</v>
      </c>
      <c r="B18" s="84"/>
      <c r="C18" s="90">
        <f>'Korrektioner vedr. finansiering'!D30/1000</f>
        <v>222.053</v>
      </c>
      <c r="D18" s="90">
        <f>'Korrektioner vedr. finansiering'!E30/1000</f>
        <v>272.74599999999998</v>
      </c>
      <c r="E18" s="90">
        <f>'Korrektioner vedr. finansiering'!F30/1000</f>
        <v>336.26299999999998</v>
      </c>
      <c r="F18" s="707">
        <f>'Korrektioner vedr. finansiering'!G30/1000</f>
        <v>390.61599999999999</v>
      </c>
    </row>
    <row r="19" spans="1:6" ht="17.649999999999999" x14ac:dyDescent="0.5">
      <c r="A19" s="706" t="s">
        <v>44</v>
      </c>
      <c r="B19" s="84"/>
      <c r="C19" s="90">
        <f>'Korrektioner vedr. finansiering'!D42/1000</f>
        <v>11.922000000000001</v>
      </c>
      <c r="D19" s="90">
        <f>'Korrektioner vedr. finansiering'!E42/1000</f>
        <v>-12.925000000000001</v>
      </c>
      <c r="E19" s="90">
        <f>'Korrektioner vedr. finansiering'!F42/1000</f>
        <v>-0.502</v>
      </c>
      <c r="F19" s="707">
        <f>'Korrektioner vedr. finansiering'!G42/1000</f>
        <v>-0.503</v>
      </c>
    </row>
    <row r="20" spans="1:6" ht="17.649999999999999" x14ac:dyDescent="0.5">
      <c r="A20" s="706" t="s">
        <v>43</v>
      </c>
      <c r="B20" s="84"/>
      <c r="C20" s="90">
        <f>'Korrektioner vedr. finansiering'!D57/1000</f>
        <v>2.1320000000000001</v>
      </c>
      <c r="D20" s="90">
        <f>'Korrektioner vedr. finansiering'!E57/1000</f>
        <v>2.0819999999999999</v>
      </c>
      <c r="E20" s="90">
        <f>'Korrektioner vedr. finansiering'!F57/1000</f>
        <v>2.335</v>
      </c>
      <c r="F20" s="707">
        <f>'Korrektioner vedr. finansiering'!G57/1000</f>
        <v>2.6019999999999999</v>
      </c>
    </row>
    <row r="21" spans="1:6" ht="17.649999999999999" x14ac:dyDescent="0.5">
      <c r="A21" s="706" t="s">
        <v>35</v>
      </c>
      <c r="B21" s="84"/>
      <c r="C21" s="90">
        <f>'Korrektioner vedr. finansiering'!D49/1000</f>
        <v>-8.9870000000000001</v>
      </c>
      <c r="D21" s="90">
        <f>'Korrektioner vedr. finansiering'!E49/1000</f>
        <v>-8.9870000000000001</v>
      </c>
      <c r="E21" s="90">
        <f>'Korrektioner vedr. finansiering'!F49/1000</f>
        <v>-8.9870000000000001</v>
      </c>
      <c r="F21" s="707">
        <f>'Korrektioner vedr. finansiering'!G49/1000</f>
        <v>-8.9870000000000001</v>
      </c>
    </row>
    <row r="22" spans="1:6" ht="17.649999999999999" x14ac:dyDescent="0.5">
      <c r="A22" s="706" t="s">
        <v>36</v>
      </c>
      <c r="B22" s="84"/>
      <c r="C22" s="90">
        <f>'Korrektioner vedr. finansiering'!D63/1000</f>
        <v>-1.6359999999999999</v>
      </c>
      <c r="D22" s="90">
        <f>'Korrektioner vedr. finansiering'!E63/1000</f>
        <v>-2.665</v>
      </c>
      <c r="E22" s="90">
        <f>'Korrektioner vedr. finansiering'!F63/1000</f>
        <v>0.16800000000000001</v>
      </c>
      <c r="F22" s="707">
        <f>'Korrektioner vedr. finansiering'!G63/1000</f>
        <v>3.948</v>
      </c>
    </row>
    <row r="23" spans="1:6" ht="17.649999999999999" x14ac:dyDescent="0.5">
      <c r="A23" s="708"/>
      <c r="B23" s="709"/>
      <c r="C23" s="710"/>
      <c r="D23" s="711"/>
      <c r="E23" s="711"/>
      <c r="F23" s="712"/>
    </row>
    <row r="24" spans="1:6" ht="18" thickBot="1" x14ac:dyDescent="0.55000000000000004">
      <c r="A24" s="697" t="s">
        <v>38</v>
      </c>
      <c r="B24" s="698"/>
      <c r="C24" s="699">
        <f>SUM(C7:C22)</f>
        <v>-24.880814999999966</v>
      </c>
      <c r="D24" s="699">
        <f>SUM(D7:D22)</f>
        <v>677.75901900000008</v>
      </c>
      <c r="E24" s="699">
        <f>SUM(E7:E22)</f>
        <v>315.43663199999997</v>
      </c>
      <c r="F24" s="700">
        <f>SUM(F7:F22)</f>
        <v>70.727798999999948</v>
      </c>
    </row>
    <row r="25" spans="1:6" ht="17.649999999999999" x14ac:dyDescent="0.5">
      <c r="A25" s="83"/>
      <c r="B25" s="84"/>
      <c r="C25" s="90"/>
      <c r="D25" s="90"/>
      <c r="E25" s="90"/>
      <c r="F25" s="91"/>
    </row>
    <row r="26" spans="1:6" ht="17.649999999999999" x14ac:dyDescent="0.5">
      <c r="A26" s="83" t="s">
        <v>45</v>
      </c>
      <c r="B26" s="84"/>
      <c r="C26" s="90">
        <f>C24</f>
        <v>-24.880814999999966</v>
      </c>
      <c r="D26" s="90">
        <f>D24+C26</f>
        <v>652.8782040000001</v>
      </c>
      <c r="E26" s="90">
        <f>D26+E24</f>
        <v>968.31483600000001</v>
      </c>
      <c r="F26" s="91">
        <f>E26+F24</f>
        <v>1039.042635</v>
      </c>
    </row>
    <row r="27" spans="1:6" ht="18" thickBot="1" x14ac:dyDescent="0.55000000000000004">
      <c r="A27" s="83"/>
      <c r="B27" s="84"/>
      <c r="C27" s="90"/>
      <c r="D27" s="90"/>
      <c r="E27" s="90"/>
      <c r="F27" s="91"/>
    </row>
    <row r="28" spans="1:6" ht="18" thickBot="1" x14ac:dyDescent="0.55000000000000004">
      <c r="A28" s="81" t="s">
        <v>37</v>
      </c>
      <c r="B28" s="82"/>
      <c r="C28" s="88">
        <f>C5+C26</f>
        <v>-24.880814999999966</v>
      </c>
      <c r="D28" s="88">
        <f>D26+D5</f>
        <v>652.8782040000001</v>
      </c>
      <c r="E28" s="88">
        <f>E26+E5</f>
        <v>968.31483600000001</v>
      </c>
      <c r="F28" s="89">
        <f>F26+F5</f>
        <v>1039.042635</v>
      </c>
    </row>
    <row r="29" spans="1:6" ht="17.649999999999999" x14ac:dyDescent="0.5">
      <c r="A29" s="87"/>
      <c r="B29" s="84"/>
      <c r="C29" s="85"/>
      <c r="D29" s="85"/>
      <c r="E29" s="85"/>
      <c r="F29" s="86"/>
    </row>
    <row r="30" spans="1:6" ht="18" thickBot="1" x14ac:dyDescent="0.55000000000000004">
      <c r="A30" s="75"/>
      <c r="B30" s="76"/>
      <c r="C30" s="76"/>
      <c r="D30" s="76"/>
      <c r="E30" s="76"/>
      <c r="F30" s="77"/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&amp;L&amp;D&amp;T&amp;R&amp;F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P74"/>
  <sheetViews>
    <sheetView workbookViewId="0"/>
  </sheetViews>
  <sheetFormatPr defaultRowHeight="12.75" x14ac:dyDescent="0.35"/>
  <cols>
    <col min="1" max="1" width="11.46484375" customWidth="1"/>
    <col min="2" max="2" width="13.53125" customWidth="1"/>
    <col min="3" max="3" width="15.46484375" customWidth="1"/>
    <col min="4" max="4" width="61.53125" bestFit="1" customWidth="1"/>
    <col min="6" max="6" width="13" customWidth="1"/>
    <col min="7" max="8" width="11.46484375" bestFit="1" customWidth="1"/>
    <col min="9" max="9" width="9.53125" customWidth="1"/>
    <col min="10" max="10" width="9.46484375" customWidth="1"/>
    <col min="11" max="11" width="9.53125" customWidth="1"/>
  </cols>
  <sheetData>
    <row r="2" spans="1:12" ht="21.75" customHeight="1" x14ac:dyDescent="0.6">
      <c r="A2" s="995" t="s">
        <v>51</v>
      </c>
      <c r="B2" s="987"/>
      <c r="C2" s="987"/>
      <c r="D2" s="987"/>
      <c r="E2" s="987"/>
      <c r="F2" s="987"/>
      <c r="G2" s="987"/>
    </row>
    <row r="4" spans="1:12" ht="13.15" thickBot="1" x14ac:dyDescent="0.4"/>
    <row r="5" spans="1:12" ht="15" x14ac:dyDescent="0.4">
      <c r="D5" s="64"/>
      <c r="E5" s="65">
        <f>+E42</f>
        <v>2027</v>
      </c>
      <c r="F5" s="65">
        <f>+E5+1</f>
        <v>2028</v>
      </c>
      <c r="G5" s="65">
        <f>+F5+1</f>
        <v>2029</v>
      </c>
      <c r="H5" s="66">
        <f>+G5+1</f>
        <v>2030</v>
      </c>
    </row>
    <row r="6" spans="1:12" ht="17.649999999999999" x14ac:dyDescent="0.5">
      <c r="D6" s="62"/>
      <c r="E6" s="68"/>
      <c r="F6" s="68"/>
      <c r="G6" s="68"/>
      <c r="H6" s="69"/>
    </row>
    <row r="7" spans="1:12" ht="17.649999999999999" x14ac:dyDescent="0.5">
      <c r="D7" s="62" t="s">
        <v>340</v>
      </c>
      <c r="E7" s="68">
        <v>0</v>
      </c>
      <c r="F7" s="68">
        <f>(G44+H44)/1000</f>
        <v>156.46</v>
      </c>
      <c r="G7" s="68">
        <f>(I44+J44)/1000</f>
        <v>316.88200000000001</v>
      </c>
      <c r="H7" s="69">
        <f>(K44+L44)/1000</f>
        <v>465.971</v>
      </c>
      <c r="J7" s="28"/>
      <c r="K7" s="103">
        <f>H7-G7</f>
        <v>149.089</v>
      </c>
      <c r="L7" t="s">
        <v>381</v>
      </c>
    </row>
    <row r="8" spans="1:12" ht="17.25" x14ac:dyDescent="0.45">
      <c r="D8" s="247" t="s">
        <v>154</v>
      </c>
      <c r="E8" s="68">
        <v>0</v>
      </c>
      <c r="F8" s="252">
        <f>IF(G45&gt;0,(G45+H45)/1000-SUM($F$7:F7),0)</f>
        <v>0.33799999999999386</v>
      </c>
      <c r="G8" s="252">
        <f>IF(I45&gt;0,(I45+J45)/1000-SUM($G$7:G7),0)</f>
        <v>1.9000000000005457E-2</v>
      </c>
      <c r="H8" s="253">
        <f>IF(K45&gt;0,(K45+L45)/1000-SUM($H$7:H7),0)</f>
        <v>5.4200000000000159</v>
      </c>
      <c r="I8" s="322"/>
      <c r="J8" s="322"/>
      <c r="K8" s="103">
        <f>H8-G8</f>
        <v>5.4010000000000105</v>
      </c>
      <c r="L8" t="s">
        <v>382</v>
      </c>
    </row>
    <row r="9" spans="1:12" ht="17.25" x14ac:dyDescent="0.45">
      <c r="D9" s="247" t="s">
        <v>154</v>
      </c>
      <c r="E9" s="68">
        <v>0</v>
      </c>
      <c r="F9" s="252">
        <f>IF(G46&gt;0,(G46+H46)/1000-SUM($F$7:F8),0)</f>
        <v>-2.0140000000026248E-3</v>
      </c>
      <c r="G9" s="252">
        <f>IF(I46&gt;0,(I46+J46)/1000-SUM($G$7:G8),0)</f>
        <v>-7.9234999999982847E-2</v>
      </c>
      <c r="H9" s="253">
        <f>IF(K46&gt;0,(K46+L46)/1000-SUM($H$7:H8),0)</f>
        <v>5.2044589999999857</v>
      </c>
      <c r="I9" s="322"/>
      <c r="J9" s="322"/>
      <c r="K9" s="103">
        <f>SUM(K8)-K7</f>
        <v>-143.68799999999999</v>
      </c>
      <c r="L9" s="28" t="s">
        <v>383</v>
      </c>
    </row>
    <row r="10" spans="1:12" ht="17.25" x14ac:dyDescent="0.45">
      <c r="D10" s="247" t="s">
        <v>154</v>
      </c>
      <c r="E10" s="68">
        <v>0</v>
      </c>
      <c r="F10" s="252">
        <f>IF(G47&gt;0,(G47+H47)/1000-SUM($F$7:F9),0)</f>
        <v>1.3999999993075107E-5</v>
      </c>
      <c r="G10" s="252">
        <f>IF(I47&gt;0,(I47+J47)/1000-SUM($G$7:G9),0)</f>
        <v>2.3499999997511622E-4</v>
      </c>
      <c r="H10" s="253">
        <f>IF(K47&gt;0,(K47+L47)/1000-SUM($H$7:H9),0)</f>
        <v>-2.945900000003121E-2</v>
      </c>
      <c r="I10" s="322"/>
      <c r="J10" s="322"/>
      <c r="K10" s="322"/>
    </row>
    <row r="11" spans="1:12" ht="17.25" x14ac:dyDescent="0.45">
      <c r="D11" s="247" t="s">
        <v>154</v>
      </c>
      <c r="E11" s="68">
        <v>0</v>
      </c>
      <c r="F11" s="252">
        <f>IF(G48&gt;0,(G48+H48)/1000-SUM($F$7:F10),0)</f>
        <v>-26.555999999999983</v>
      </c>
      <c r="G11" s="252">
        <f>IF(I48&gt;0,(I48+J48)/1000-SUM($G$7:G10),0)</f>
        <v>-41.067000000000007</v>
      </c>
      <c r="H11" s="253">
        <f>IF(K48&gt;0,(K48+L48)/1000-SUM($H$7:H10),0)</f>
        <v>-54.91799999999995</v>
      </c>
      <c r="I11" s="322"/>
      <c r="J11" s="322"/>
      <c r="K11" s="322"/>
    </row>
    <row r="12" spans="1:12" ht="17.25" x14ac:dyDescent="0.45">
      <c r="D12" s="247" t="s">
        <v>154</v>
      </c>
      <c r="E12" s="68">
        <v>0</v>
      </c>
      <c r="F12" s="252">
        <f>IF(G49&gt;0,(G49+H49)/1000-SUM($F$7:F11),0)</f>
        <v>-1.839600000002406E-2</v>
      </c>
      <c r="G12" s="252">
        <f>IF(I49&gt;0,(I49+J49)/1000-SUM($G$7:G11),0)</f>
        <v>-2.5167000000010376E-2</v>
      </c>
      <c r="H12" s="253">
        <f>IF(K49&gt;0,(K49+L49)/1000-SUM($H$7:H11),0)</f>
        <v>-7.2758000000021639E-2</v>
      </c>
      <c r="I12" s="322"/>
      <c r="J12" s="322"/>
      <c r="K12" s="103">
        <f>H12-G12</f>
        <v>-4.7591000000011263E-2</v>
      </c>
    </row>
    <row r="13" spans="1:12" ht="17.25" x14ac:dyDescent="0.45">
      <c r="D13" s="247" t="s">
        <v>154</v>
      </c>
      <c r="E13" s="68">
        <v>0</v>
      </c>
      <c r="F13" s="252">
        <f>IF(G50&gt;0,(G50+H50)/1000-SUM($F$7:F12),0)</f>
        <v>-0.34360399999999913</v>
      </c>
      <c r="G13" s="252">
        <f>IF(I50&gt;0,(I50+J50)/1000-SUM($G$7:G12),0)</f>
        <v>-1.163833000000011</v>
      </c>
      <c r="H13" s="253">
        <f>IF(K50&gt;0,(K50+L50)/1000-SUM($H$7:H12),0)</f>
        <v>3.3147579999999834</v>
      </c>
      <c r="I13" s="322"/>
      <c r="J13" s="322"/>
      <c r="K13" s="103">
        <f>H13-G13</f>
        <v>4.4785909999999944</v>
      </c>
    </row>
    <row r="14" spans="1:12" ht="17.25" x14ac:dyDescent="0.45">
      <c r="D14" s="247" t="s">
        <v>154</v>
      </c>
      <c r="E14" s="68">
        <v>0</v>
      </c>
      <c r="F14" s="252">
        <f>IF(G51&gt;0,(G51+H51)/1000-SUM($F$7:F13),0)</f>
        <v>9.9000000000017963E-2</v>
      </c>
      <c r="G14" s="252">
        <f>IF(I51&gt;0,(I51+J51)/1000-SUM($G$7:G13),0)</f>
        <v>-5.5999999999983174E-2</v>
      </c>
      <c r="H14" s="253">
        <f>IF(K51&gt;0,(K51+L51)/1000-SUM($H$7:H13),0)</f>
        <v>-0.52799999999996317</v>
      </c>
      <c r="I14" s="322"/>
      <c r="J14" s="322"/>
      <c r="K14" s="103">
        <f>H14-G14</f>
        <v>-0.47199999999997999</v>
      </c>
    </row>
    <row r="15" spans="1:12" ht="17.25" x14ac:dyDescent="0.45">
      <c r="D15" s="247" t="s">
        <v>154</v>
      </c>
      <c r="E15" s="68">
        <v>0</v>
      </c>
      <c r="F15" s="252">
        <f>IF(G52&gt;0,(G52+H52)/1000-SUM($F$7:F14),0)</f>
        <v>-10.88415000000002</v>
      </c>
      <c r="G15" s="252">
        <f>IF(I52&gt;0,(I52+J52)/1000-SUM($G$7:G14),0)</f>
        <v>-16.947050999999988</v>
      </c>
      <c r="H15" s="253">
        <f>IF(K52&gt;0,(K52+L52)/1000-SUM($H$7:H14),0)</f>
        <v>-23.471961000000022</v>
      </c>
      <c r="I15" s="322"/>
      <c r="J15" s="322"/>
      <c r="K15" s="103">
        <f>H15-G15</f>
        <v>-6.524910000000034</v>
      </c>
    </row>
    <row r="16" spans="1:12" ht="17.25" x14ac:dyDescent="0.45">
      <c r="D16" s="247" t="s">
        <v>154</v>
      </c>
      <c r="E16" s="68">
        <v>0</v>
      </c>
      <c r="F16" s="252">
        <f>IF(G53&gt;0,(G53+H53)/1000-SUM($F$7:F15),0)</f>
        <v>-6.5168499999999909</v>
      </c>
      <c r="G16" s="252">
        <f>IF(I53&gt;0,(I53+J53)/1000-SUM($G$7:G15),0)</f>
        <v>-13.875948999999991</v>
      </c>
      <c r="H16" s="253">
        <f>IF(K53&gt;0,(K53+L53)/1000-SUM($H$7:H15),0)</f>
        <v>-20.941038999999989</v>
      </c>
      <c r="I16" s="322"/>
      <c r="J16" s="322"/>
      <c r="K16" s="322"/>
    </row>
    <row r="17" spans="4:11" ht="17.25" x14ac:dyDescent="0.45">
      <c r="D17" s="247" t="s">
        <v>154</v>
      </c>
      <c r="E17" s="68">
        <v>0</v>
      </c>
      <c r="F17" s="252">
        <f>IF(G54&gt;0,(G54+H54)/1000-SUM($F$7:F16),0)</f>
        <v>8.9168999999998277E-2</v>
      </c>
      <c r="G17" s="252">
        <f>IF(I54&gt;0,(I54+J54)/1000-SUM($G$7:G16),0)</f>
        <v>0.19418499999997607</v>
      </c>
      <c r="H17" s="253">
        <f>IF(K54&gt;0,(K54+L54)/1000-SUM($H$7:H16),0)</f>
        <v>-1.9697290000000862</v>
      </c>
      <c r="I17" s="322"/>
      <c r="J17" s="322"/>
      <c r="K17" s="322"/>
    </row>
    <row r="18" spans="4:11" ht="17.25" x14ac:dyDescent="0.45">
      <c r="D18" s="247" t="s">
        <v>154</v>
      </c>
      <c r="E18" s="68">
        <v>0</v>
      </c>
      <c r="F18" s="252">
        <f>IF(G55&gt;0,(G55+H55)/1000-SUM($F$7:F17),0)</f>
        <v>-0.2061689999999885</v>
      </c>
      <c r="G18" s="252">
        <f>IF(I55&gt;0,(I55+J55)/1000-SUM($G$7:G17),0)</f>
        <v>-0.45918499999999085</v>
      </c>
      <c r="H18" s="253">
        <f>IF(K55&gt;0,(K55+L55)/1000-SUM($H$7:H17),0)</f>
        <v>-0.75027099999994107</v>
      </c>
      <c r="I18" s="322"/>
      <c r="J18" s="322"/>
      <c r="K18" s="322"/>
    </row>
    <row r="19" spans="4:11" ht="17.25" x14ac:dyDescent="0.45">
      <c r="D19" s="247" t="s">
        <v>154</v>
      </c>
      <c r="E19" s="68">
        <v>0</v>
      </c>
      <c r="F19" s="252">
        <f>IF(G56&gt;0,(G56+H56)/1000-SUM($F$7:F18),0)</f>
        <v>4.5739999999999981</v>
      </c>
      <c r="G19" s="252">
        <f>IF(I56&gt;0,(I56+J56)/1000-SUM($G$7:G18),0)</f>
        <v>5.6510000000000105</v>
      </c>
      <c r="H19" s="253">
        <f>IF(K56&gt;0,(K56+L56)/1000-SUM($H$7:H18),0)</f>
        <v>8.2160000000000082</v>
      </c>
      <c r="I19" s="322"/>
      <c r="J19" s="322"/>
      <c r="K19" s="322"/>
    </row>
    <row r="20" spans="4:11" ht="17.25" x14ac:dyDescent="0.45">
      <c r="D20" s="247" t="s">
        <v>154</v>
      </c>
      <c r="E20" s="68">
        <v>0</v>
      </c>
      <c r="F20" s="252">
        <f>IF(G57&gt;0,(G57+H57)/1000-SUM($F$7:F19),0)</f>
        <v>2.8000000000005798E-2</v>
      </c>
      <c r="G20" s="252">
        <f>IF(I57&gt;0,(I57+J57)/1000-SUM($G$7:G19),0)</f>
        <v>-4.0000000000190994E-3</v>
      </c>
      <c r="H20" s="253">
        <f>IF(K57&gt;0,(K57+L57)/1000-SUM($H$7:H19),0)</f>
        <v>0</v>
      </c>
      <c r="I20" s="322"/>
      <c r="J20" s="322"/>
      <c r="K20" s="322"/>
    </row>
    <row r="21" spans="4:11" ht="17.25" x14ac:dyDescent="0.45">
      <c r="D21" s="247" t="s">
        <v>154</v>
      </c>
      <c r="E21" s="68">
        <v>0</v>
      </c>
      <c r="F21" s="252">
        <f>IF(G58&gt;0,(G58+H58)/1000-SUM($F$7:F20),0)</f>
        <v>2.5609999999999928</v>
      </c>
      <c r="G21" s="252">
        <f>IF(I58&gt;0,(I58+J58)/1000-SUM($G$7:G20),0)</f>
        <v>1.195999999999998</v>
      </c>
      <c r="H21" s="253">
        <f>IF(K58&gt;0,(K58+L58)/1000-SUM($H$7:H20),0)</f>
        <v>3.8050000000000068</v>
      </c>
      <c r="I21" s="322"/>
      <c r="J21" s="322"/>
      <c r="K21" s="322"/>
    </row>
    <row r="22" spans="4:11" ht="17.25" x14ac:dyDescent="0.45">
      <c r="D22" s="247" t="s">
        <v>154</v>
      </c>
      <c r="E22" s="68">
        <v>0</v>
      </c>
      <c r="F22" s="252">
        <f>IF(G59&gt;0,(G59+H59)/1000-SUM($F$7:F21),0)</f>
        <v>0</v>
      </c>
      <c r="G22" s="252">
        <f>IF(I59&gt;0,(I59+J59)/1000-SUM($G$7:G21),0)</f>
        <v>0</v>
      </c>
      <c r="H22" s="253">
        <f>IF(K59&gt;0,(K59+L59)/1000-SUM($H$7:H21),0)</f>
        <v>0</v>
      </c>
      <c r="I22" s="322"/>
      <c r="J22" s="322"/>
      <c r="K22" s="322"/>
    </row>
    <row r="23" spans="4:11" ht="17.25" x14ac:dyDescent="0.45">
      <c r="D23" s="247" t="s">
        <v>154</v>
      </c>
      <c r="E23" s="68">
        <v>0</v>
      </c>
      <c r="F23" s="252">
        <f>IF(G60&gt;0,(G60+H60)/1000-SUM($F$7:F22),0)</f>
        <v>0</v>
      </c>
      <c r="G23" s="252">
        <f>IF(I60&gt;0,(I60+J60)/1000-SUM($G$7:G22),0)</f>
        <v>0</v>
      </c>
      <c r="H23" s="253">
        <f>IF(K60&gt;0,(K60+L60)/1000-SUM($H$7:H22),0)</f>
        <v>0</v>
      </c>
      <c r="I23" s="322"/>
      <c r="J23" s="322"/>
      <c r="K23" s="322"/>
    </row>
    <row r="24" spans="4:11" ht="17.25" x14ac:dyDescent="0.45">
      <c r="D24" s="247" t="s">
        <v>154</v>
      </c>
      <c r="E24" s="68">
        <v>0</v>
      </c>
      <c r="F24" s="252">
        <f>IF(G61&gt;0,(G61+H61)/1000-SUM($F$7:F23),0)</f>
        <v>0</v>
      </c>
      <c r="G24" s="252">
        <f>IF(I61&gt;0,(I61+J61)/1000-SUM($G$7:G23),0)</f>
        <v>0</v>
      </c>
      <c r="H24" s="253">
        <f>IF(K61&gt;0,(K61+L61)/1000-SUM($H$7:H23),0)</f>
        <v>0</v>
      </c>
      <c r="I24" s="322"/>
      <c r="J24" s="322"/>
      <c r="K24" s="322"/>
    </row>
    <row r="25" spans="4:11" ht="17.25" x14ac:dyDescent="0.45">
      <c r="D25" s="247" t="s">
        <v>154</v>
      </c>
      <c r="E25" s="68">
        <v>0</v>
      </c>
      <c r="F25" s="252">
        <f>IF(G62&gt;0,(G62+H62)/1000-SUM($F$7:F24),0)</f>
        <v>0</v>
      </c>
      <c r="G25" s="252">
        <f>IF(I62&gt;0,(I62+J62)/1000-SUM($G$7:G24),0)</f>
        <v>0</v>
      </c>
      <c r="H25" s="253">
        <f>IF(K62&gt;0,(K62+L62)/1000-SUM($H$7:H24),0)</f>
        <v>0</v>
      </c>
      <c r="I25" s="322"/>
      <c r="J25" s="322"/>
      <c r="K25" s="322"/>
    </row>
    <row r="26" spans="4:11" ht="17.25" x14ac:dyDescent="0.45">
      <c r="D26" s="247" t="s">
        <v>154</v>
      </c>
      <c r="E26" s="68">
        <v>0</v>
      </c>
      <c r="F26" s="252">
        <f>IF(G63&gt;0,(G63+H63)/1000-SUM($F$7:F25),0)</f>
        <v>0</v>
      </c>
      <c r="G26" s="252">
        <f>IF(I63&gt;0,(I63+J63)/1000-SUM($G$7:G25),0)</f>
        <v>0</v>
      </c>
      <c r="H26" s="253">
        <f>IF(K63&gt;0,(K63+L63)/1000-SUM($H$7:H25),0)</f>
        <v>0</v>
      </c>
      <c r="I26" s="322"/>
      <c r="J26" s="322"/>
      <c r="K26" s="322"/>
    </row>
    <row r="27" spans="4:11" ht="17.25" x14ac:dyDescent="0.45">
      <c r="D27" s="247" t="s">
        <v>154</v>
      </c>
      <c r="E27" s="68">
        <v>0</v>
      </c>
      <c r="F27" s="252">
        <f>IF(G64&gt;0,(G64+H64)/1000-SUM($F$7:F26),0)</f>
        <v>0</v>
      </c>
      <c r="G27" s="252">
        <f>IF(I64&gt;0,(I64+J64)/1000-SUM($G$7:G26),0)</f>
        <v>0</v>
      </c>
      <c r="H27" s="253">
        <f>IF(K64&gt;0,(K64+L64)/1000-SUM($H$7:H26),0)</f>
        <v>0</v>
      </c>
      <c r="I27" s="322"/>
      <c r="J27" s="322"/>
      <c r="K27" s="322"/>
    </row>
    <row r="28" spans="4:11" ht="17.25" x14ac:dyDescent="0.45">
      <c r="D28" s="247" t="s">
        <v>154</v>
      </c>
      <c r="E28" s="68">
        <v>0</v>
      </c>
      <c r="F28" s="252">
        <f>IF(G65&gt;0,(G65+H65)/1000-SUM($F$7:F27),0)</f>
        <v>0</v>
      </c>
      <c r="G28" s="252">
        <f>IF(I65&gt;0,(I65+J65)/1000-SUM($G$7:G27),0)</f>
        <v>0</v>
      </c>
      <c r="H28" s="253">
        <f>IF(K65&gt;0,(K65+L65)/1000-SUM($H$7:H27),0)</f>
        <v>0</v>
      </c>
      <c r="I28" s="322"/>
      <c r="J28" s="322"/>
      <c r="K28" s="322"/>
    </row>
    <row r="29" spans="4:11" ht="17.25" x14ac:dyDescent="0.45">
      <c r="D29" s="247" t="s">
        <v>154</v>
      </c>
      <c r="E29" s="68">
        <v>0</v>
      </c>
      <c r="F29" s="252">
        <f>IF(G66&gt;0,(G66+H66)/1000-SUM($F$7:F28),0)</f>
        <v>0</v>
      </c>
      <c r="G29" s="252">
        <f>IF(I66&gt;0,(I66+J66)/1000-SUM($G$7:G28),0)</f>
        <v>0</v>
      </c>
      <c r="H29" s="253">
        <f>IF(K66&gt;0,(K66+L66)/1000-SUM($H$7:H28),0)</f>
        <v>0</v>
      </c>
      <c r="I29" s="322"/>
      <c r="J29" s="322"/>
      <c r="K29" s="322"/>
    </row>
    <row r="30" spans="4:11" ht="17.25" x14ac:dyDescent="0.45">
      <c r="D30" s="247" t="s">
        <v>154</v>
      </c>
      <c r="E30" s="68">
        <v>0</v>
      </c>
      <c r="F30" s="252">
        <f>IF(G67&gt;0,(G67+H67)/1000-SUM($F$7:F29),0)</f>
        <v>0</v>
      </c>
      <c r="G30" s="252">
        <f>IF(I67&gt;0,(I67+J67)/1000-SUM($G$7:G29),0)</f>
        <v>0</v>
      </c>
      <c r="H30" s="253">
        <f>IF(K67&gt;0,(K67+L67)/1000-SUM($H$7:H29),0)</f>
        <v>0</v>
      </c>
      <c r="I30" s="322"/>
      <c r="J30" s="322"/>
      <c r="K30" s="322"/>
    </row>
    <row r="31" spans="4:11" ht="17.25" x14ac:dyDescent="0.45">
      <c r="D31" s="247" t="s">
        <v>154</v>
      </c>
      <c r="E31" s="68">
        <v>0</v>
      </c>
      <c r="F31" s="252">
        <f>IF(G68&gt;0,(G68+H68)/1000-SUM($F$7:F30),0)</f>
        <v>0</v>
      </c>
      <c r="G31" s="252">
        <f>IF(I68&gt;0,(I68+J68)/1000-SUM($G$7:G30),0)</f>
        <v>0</v>
      </c>
      <c r="H31" s="253">
        <f>IF(K68&gt;0,(K68+L68)/1000-SUM($H$7:H30),0)</f>
        <v>0</v>
      </c>
      <c r="I31" s="322"/>
      <c r="J31" s="322"/>
      <c r="K31" s="322"/>
    </row>
    <row r="32" spans="4:11" ht="17.25" x14ac:dyDescent="0.45">
      <c r="D32" s="247" t="s">
        <v>154</v>
      </c>
      <c r="E32" s="68">
        <v>0</v>
      </c>
      <c r="F32" s="252">
        <f>IF(G69&gt;0,(G69+H69)/1000-SUM($F$7:F31),0)</f>
        <v>0</v>
      </c>
      <c r="G32" s="252">
        <f>IF(I69&gt;0,(I69+J69)/1000-SUM($G$7:G31),0)</f>
        <v>0</v>
      </c>
      <c r="H32" s="253">
        <f>IF(K69&gt;0,(K69+L69)/1000-SUM($H$7:H31),0)</f>
        <v>0</v>
      </c>
      <c r="I32" s="322"/>
      <c r="J32" s="322"/>
      <c r="K32" s="322"/>
    </row>
    <row r="33" spans="1:16" ht="17.25" x14ac:dyDescent="0.45">
      <c r="D33" s="247" t="s">
        <v>154</v>
      </c>
      <c r="E33" s="68">
        <v>0</v>
      </c>
      <c r="F33" s="252">
        <f>IF(G70&gt;0,(G70+H70)/1000-SUM($F$7:F32),0)</f>
        <v>0</v>
      </c>
      <c r="G33" s="252">
        <f>IF(I70&gt;0,(I70+J70)/1000-SUM($G$7:G32),0)</f>
        <v>0</v>
      </c>
      <c r="H33" s="253">
        <f>IF(K70&gt;0,(K70+L70)/1000-SUM($H$7:H32),0)</f>
        <v>0</v>
      </c>
      <c r="I33" s="322"/>
      <c r="J33" s="322"/>
      <c r="K33" s="322"/>
    </row>
    <row r="34" spans="1:16" ht="17.25" x14ac:dyDescent="0.45">
      <c r="D34" s="247" t="s">
        <v>154</v>
      </c>
      <c r="E34" s="68">
        <v>0</v>
      </c>
      <c r="F34" s="252">
        <f>IF(G71&gt;0,(G71+H71)/1000-SUM($F$7:F33),0)</f>
        <v>0</v>
      </c>
      <c r="G34" s="252">
        <f>IF(I71&gt;0,(I71+J71)/1000-SUM($G$7:G33),0)</f>
        <v>0</v>
      </c>
      <c r="H34" s="253">
        <f>IF(K71&gt;0,(K71+L71)/1000-SUM($H$7:H33),0)</f>
        <v>0</v>
      </c>
      <c r="I34" s="322"/>
      <c r="J34" s="322"/>
      <c r="K34" s="322"/>
    </row>
    <row r="35" spans="1:16" ht="17.25" x14ac:dyDescent="0.45">
      <c r="D35" s="247" t="s">
        <v>154</v>
      </c>
      <c r="E35" s="68">
        <v>0</v>
      </c>
      <c r="F35" s="252">
        <f>IF(G72&gt;0,(G72+H72)/1000-SUM($F$7:F34),0)</f>
        <v>0</v>
      </c>
      <c r="G35" s="252">
        <f>IF(I72&gt;0,(I72+J72)/1000-SUM($G$7:G34),0)</f>
        <v>0</v>
      </c>
      <c r="H35" s="253">
        <f>IF(K72&gt;0,(K72+L72)/1000-SUM($H$7:H34),0)</f>
        <v>0</v>
      </c>
      <c r="I35" s="322"/>
      <c r="J35" s="322"/>
      <c r="K35" s="322"/>
    </row>
    <row r="36" spans="1:16" ht="17.25" x14ac:dyDescent="0.45">
      <c r="D36" s="247" t="s">
        <v>154</v>
      </c>
      <c r="E36" s="68">
        <v>0</v>
      </c>
      <c r="F36" s="252">
        <f>IF(G73&gt;0,(G73+H73)/1000-SUM($F$7:F35),0)</f>
        <v>0</v>
      </c>
      <c r="G36" s="252">
        <f>IF(I73&gt;0,(I73+J73)/1000-SUM($G$7:G35),0)</f>
        <v>0</v>
      </c>
      <c r="H36" s="253">
        <f>IF(K73&gt;0,(K73+L73)/1000-SUM($H$7:H35),0)</f>
        <v>0</v>
      </c>
      <c r="I36" s="322">
        <f>SUM(F35:F36)</f>
        <v>0</v>
      </c>
      <c r="J36" s="322">
        <f>SUM(G35:G36)</f>
        <v>0</v>
      </c>
      <c r="K36" s="322">
        <f>SUM(H35:H36)</f>
        <v>0</v>
      </c>
    </row>
    <row r="37" spans="1:16" ht="17.25" x14ac:dyDescent="0.45">
      <c r="D37" s="247"/>
      <c r="E37" s="68">
        <v>0</v>
      </c>
      <c r="F37" s="68"/>
      <c r="G37" s="68"/>
      <c r="H37" s="69"/>
    </row>
    <row r="38" spans="1:16" ht="15.4" thickBot="1" x14ac:dyDescent="0.45">
      <c r="D38" s="67"/>
      <c r="E38" s="70"/>
      <c r="F38" s="70"/>
      <c r="G38" s="70"/>
      <c r="H38" s="71"/>
    </row>
    <row r="39" spans="1:16" ht="18" thickBot="1" x14ac:dyDescent="0.55000000000000004">
      <c r="D39" s="63" t="s">
        <v>31</v>
      </c>
      <c r="E39" s="60">
        <f>SUM(E6:E38)</f>
        <v>0</v>
      </c>
      <c r="F39" s="60">
        <f>SUM(F6:F38)</f>
        <v>119.622</v>
      </c>
      <c r="G39" s="60">
        <f>SUM(G6:G38)</f>
        <v>250.26499999999999</v>
      </c>
      <c r="H39" s="156">
        <f>SUM(H6:H38)</f>
        <v>389.25</v>
      </c>
    </row>
    <row r="41" spans="1:16" ht="13.15" thickBot="1" x14ac:dyDescent="0.4"/>
    <row r="42" spans="1:16" x14ac:dyDescent="0.35">
      <c r="D42" s="94" t="s">
        <v>851</v>
      </c>
      <c r="E42" s="996">
        <f>+Aktivitetsudvidelser!F11</f>
        <v>2027</v>
      </c>
      <c r="F42" s="997"/>
      <c r="G42" s="996">
        <f>E42+1</f>
        <v>2028</v>
      </c>
      <c r="H42" s="997"/>
      <c r="I42" s="996">
        <f>G42+1</f>
        <v>2029</v>
      </c>
      <c r="J42" s="997"/>
      <c r="K42" s="996">
        <f>I42+1</f>
        <v>2030</v>
      </c>
      <c r="L42" s="997"/>
    </row>
    <row r="43" spans="1:16" ht="13.15" thickBot="1" x14ac:dyDescent="0.4">
      <c r="A43" s="245" t="s">
        <v>202</v>
      </c>
      <c r="E43" s="640" t="s">
        <v>238</v>
      </c>
      <c r="F43" s="641"/>
      <c r="G43" s="67"/>
      <c r="H43" s="249"/>
      <c r="I43" s="67"/>
      <c r="J43" s="249"/>
      <c r="K43" s="67"/>
      <c r="L43" s="249"/>
    </row>
    <row r="44" spans="1:16" ht="13.15" thickBot="1" x14ac:dyDescent="0.4">
      <c r="A44" s="245" t="s">
        <v>338</v>
      </c>
      <c r="B44" s="28" t="s">
        <v>148</v>
      </c>
      <c r="D44" s="244" t="s">
        <v>145</v>
      </c>
      <c r="E44" s="248">
        <v>0</v>
      </c>
      <c r="F44" s="248">
        <v>0</v>
      </c>
      <c r="G44" s="248">
        <v>180595</v>
      </c>
      <c r="H44" s="248">
        <v>-24135</v>
      </c>
      <c r="I44" s="248">
        <v>363193</v>
      </c>
      <c r="J44" s="248">
        <v>-46311</v>
      </c>
      <c r="K44" s="248">
        <v>536818</v>
      </c>
      <c r="L44" s="248">
        <v>-70847</v>
      </c>
    </row>
    <row r="45" spans="1:16" ht="13.15" thickBot="1" x14ac:dyDescent="0.4">
      <c r="A45" s="277" t="s">
        <v>403</v>
      </c>
      <c r="B45" s="28" t="s">
        <v>148</v>
      </c>
      <c r="D45" s="244" t="s">
        <v>145</v>
      </c>
      <c r="E45" s="248">
        <v>0</v>
      </c>
      <c r="F45" s="248">
        <v>0</v>
      </c>
      <c r="G45" s="248">
        <v>180929</v>
      </c>
      <c r="H45" s="248">
        <v>-24131</v>
      </c>
      <c r="I45" s="248">
        <v>363334</v>
      </c>
      <c r="J45" s="248">
        <v>-46433</v>
      </c>
      <c r="K45" s="248">
        <v>542227</v>
      </c>
      <c r="L45" s="248">
        <v>-70836</v>
      </c>
    </row>
    <row r="46" spans="1:16" ht="13.15" thickBot="1" x14ac:dyDescent="0.4">
      <c r="A46" s="277" t="s">
        <v>446</v>
      </c>
      <c r="B46" s="28" t="s">
        <v>148</v>
      </c>
      <c r="D46" s="244" t="s">
        <v>145</v>
      </c>
      <c r="E46" s="239">
        <v>0</v>
      </c>
      <c r="F46" s="239">
        <v>0</v>
      </c>
      <c r="G46" s="239">
        <v>180964.065</v>
      </c>
      <c r="H46" s="239">
        <v>-24168.079000000002</v>
      </c>
      <c r="I46" s="239">
        <v>363329.94699999999</v>
      </c>
      <c r="J46" s="239">
        <v>-46508.182000000001</v>
      </c>
      <c r="K46" s="239">
        <v>548143.68700000003</v>
      </c>
      <c r="L46" s="239">
        <v>-71548.228000000003</v>
      </c>
      <c r="N46" s="182"/>
    </row>
    <row r="47" spans="1:16" ht="13.15" thickBot="1" x14ac:dyDescent="0.4">
      <c r="A47" s="277" t="s">
        <v>447</v>
      </c>
      <c r="B47" s="28" t="s">
        <v>148</v>
      </c>
      <c r="D47" s="244" t="s">
        <v>145</v>
      </c>
      <c r="E47" s="239">
        <v>0</v>
      </c>
      <c r="F47" s="239">
        <v>0</v>
      </c>
      <c r="G47" s="248">
        <v>180964</v>
      </c>
      <c r="H47" s="248">
        <v>-24168</v>
      </c>
      <c r="I47" s="248">
        <v>363330</v>
      </c>
      <c r="J47" s="248">
        <v>-46508</v>
      </c>
      <c r="K47" s="248">
        <v>548114</v>
      </c>
      <c r="L47" s="248">
        <v>-71548</v>
      </c>
      <c r="N47" s="182"/>
      <c r="O47" s="182"/>
      <c r="P47" s="182"/>
    </row>
    <row r="48" spans="1:16" ht="13.15" thickBot="1" x14ac:dyDescent="0.4">
      <c r="A48" s="277" t="s">
        <v>482</v>
      </c>
      <c r="B48" s="28" t="s">
        <v>148</v>
      </c>
      <c r="D48" s="244" t="s">
        <v>145</v>
      </c>
      <c r="E48" s="676">
        <v>0</v>
      </c>
      <c r="F48" s="676">
        <v>0</v>
      </c>
      <c r="G48" s="248">
        <v>147521</v>
      </c>
      <c r="H48" s="248">
        <v>-17281</v>
      </c>
      <c r="I48" s="248">
        <v>310002</v>
      </c>
      <c r="J48" s="248">
        <v>-34247</v>
      </c>
      <c r="K48" s="248">
        <v>474615</v>
      </c>
      <c r="L48" s="248">
        <v>-52967</v>
      </c>
    </row>
    <row r="49" spans="1:14" ht="13.15" thickBot="1" x14ac:dyDescent="0.4">
      <c r="A49" s="277" t="s">
        <v>578</v>
      </c>
      <c r="B49" s="28" t="s">
        <v>148</v>
      </c>
      <c r="D49" s="244" t="s">
        <v>145</v>
      </c>
      <c r="E49" s="239">
        <v>0</v>
      </c>
      <c r="F49" s="239">
        <v>0</v>
      </c>
      <c r="G49" s="676">
        <v>145418.04999999999</v>
      </c>
      <c r="H49" s="676">
        <v>-15196.446</v>
      </c>
      <c r="I49" s="676">
        <v>305747.402</v>
      </c>
      <c r="J49" s="676">
        <v>-30017.569</v>
      </c>
      <c r="K49" s="676">
        <v>468105.54700000002</v>
      </c>
      <c r="L49" s="676">
        <v>-46530.305</v>
      </c>
      <c r="N49" s="28"/>
    </row>
    <row r="50" spans="1:14" ht="13.15" thickBot="1" x14ac:dyDescent="0.4">
      <c r="A50" s="277" t="s">
        <v>629</v>
      </c>
      <c r="B50" s="28" t="s">
        <v>148</v>
      </c>
      <c r="D50" s="244" t="s">
        <v>145</v>
      </c>
      <c r="E50" s="239">
        <v>0</v>
      </c>
      <c r="F50" s="239">
        <v>0</v>
      </c>
      <c r="G50" s="248">
        <v>145081</v>
      </c>
      <c r="H50" s="248">
        <v>-15203</v>
      </c>
      <c r="I50" s="248">
        <v>304578</v>
      </c>
      <c r="J50" s="248">
        <v>-30012</v>
      </c>
      <c r="K50" s="248">
        <v>471411</v>
      </c>
      <c r="L50" s="248">
        <v>-46521</v>
      </c>
    </row>
    <row r="51" spans="1:14" ht="13.15" thickBot="1" x14ac:dyDescent="0.4">
      <c r="A51" s="277" t="s">
        <v>762</v>
      </c>
      <c r="B51" s="28" t="s">
        <v>148</v>
      </c>
      <c r="D51" s="244" t="s">
        <v>145</v>
      </c>
      <c r="E51" s="248">
        <v>0</v>
      </c>
      <c r="F51" s="248">
        <v>0</v>
      </c>
      <c r="G51" s="248">
        <v>145148</v>
      </c>
      <c r="H51" s="248">
        <v>-15171</v>
      </c>
      <c r="I51" s="248">
        <v>304454</v>
      </c>
      <c r="J51" s="248">
        <v>-29944</v>
      </c>
      <c r="K51" s="248">
        <v>470778</v>
      </c>
      <c r="L51" s="248">
        <v>-46416</v>
      </c>
    </row>
    <row r="52" spans="1:14" ht="13.15" thickBot="1" x14ac:dyDescent="0.4">
      <c r="A52" s="811">
        <v>46199</v>
      </c>
      <c r="B52" s="28" t="s">
        <v>148</v>
      </c>
      <c r="D52" s="244" t="s">
        <v>145</v>
      </c>
      <c r="E52" s="239">
        <v>0</v>
      </c>
      <c r="F52" s="239">
        <v>0</v>
      </c>
      <c r="G52" s="676">
        <v>133572.408</v>
      </c>
      <c r="H52" s="676">
        <v>-14479.558000000001</v>
      </c>
      <c r="I52" s="676">
        <v>285912.85600000003</v>
      </c>
      <c r="J52" s="676">
        <v>-28349.906999999999</v>
      </c>
      <c r="K52" s="676">
        <v>444655.02799999999</v>
      </c>
      <c r="L52" s="676">
        <v>-43764.989000000001</v>
      </c>
    </row>
    <row r="53" spans="1:14" ht="13.15" thickBot="1" x14ac:dyDescent="0.4">
      <c r="A53" s="277" t="s">
        <v>825</v>
      </c>
      <c r="B53" s="28" t="s">
        <v>148</v>
      </c>
      <c r="D53" s="244" t="s">
        <v>145</v>
      </c>
      <c r="E53" s="248">
        <v>0</v>
      </c>
      <c r="F53" s="248">
        <v>0</v>
      </c>
      <c r="G53" s="248">
        <v>127023</v>
      </c>
      <c r="H53" s="248">
        <v>-14447</v>
      </c>
      <c r="I53" s="248">
        <v>271969</v>
      </c>
      <c r="J53" s="248">
        <v>-28282</v>
      </c>
      <c r="K53" s="248">
        <v>423609</v>
      </c>
      <c r="L53" s="248">
        <v>-43660</v>
      </c>
    </row>
    <row r="54" spans="1:14" ht="13.15" thickBot="1" x14ac:dyDescent="0.4">
      <c r="A54" s="277" t="s">
        <v>850</v>
      </c>
      <c r="B54" s="28" t="s">
        <v>148</v>
      </c>
      <c r="D54" s="244" t="s">
        <v>145</v>
      </c>
      <c r="E54" s="676">
        <v>0</v>
      </c>
      <c r="F54" s="676">
        <v>0</v>
      </c>
      <c r="G54" s="676">
        <v>127043.117</v>
      </c>
      <c r="H54" s="676">
        <v>-14377.948</v>
      </c>
      <c r="I54" s="676">
        <v>272017.277</v>
      </c>
      <c r="J54" s="676">
        <v>-28136.092000000001</v>
      </c>
      <c r="K54" s="676">
        <v>420829.10499999998</v>
      </c>
      <c r="L54" s="676">
        <v>-42849.834000000003</v>
      </c>
    </row>
    <row r="55" spans="1:14" ht="13.15" thickBot="1" x14ac:dyDescent="0.4">
      <c r="A55" s="277" t="s">
        <v>875</v>
      </c>
      <c r="B55" s="28" t="s">
        <v>148</v>
      </c>
      <c r="D55" s="244" t="s">
        <v>145</v>
      </c>
      <c r="E55" s="248">
        <v>0</v>
      </c>
      <c r="F55" s="248">
        <v>0</v>
      </c>
      <c r="G55" s="248">
        <v>126956</v>
      </c>
      <c r="H55" s="248">
        <v>-14497</v>
      </c>
      <c r="I55" s="248">
        <v>271800</v>
      </c>
      <c r="J55" s="248">
        <v>-28378</v>
      </c>
      <c r="K55" s="248">
        <v>420446</v>
      </c>
      <c r="L55" s="248">
        <v>-43217</v>
      </c>
    </row>
    <row r="56" spans="1:14" ht="13.15" thickBot="1" x14ac:dyDescent="0.4">
      <c r="A56" s="277" t="s">
        <v>949</v>
      </c>
      <c r="B56" s="28" t="s">
        <v>148</v>
      </c>
      <c r="D56" s="244" t="s">
        <v>145</v>
      </c>
      <c r="E56" s="248">
        <v>0</v>
      </c>
      <c r="F56" s="248">
        <v>0</v>
      </c>
      <c r="G56" s="248">
        <v>131877</v>
      </c>
      <c r="H56" s="248">
        <v>-14844</v>
      </c>
      <c r="I56" s="248">
        <v>278157</v>
      </c>
      <c r="J56" s="248">
        <v>-29084</v>
      </c>
      <c r="K56" s="248">
        <v>429547</v>
      </c>
      <c r="L56" s="248">
        <v>-44102</v>
      </c>
    </row>
    <row r="57" spans="1:14" ht="13.15" thickBot="1" x14ac:dyDescent="0.4">
      <c r="A57" s="277" t="s">
        <v>965</v>
      </c>
      <c r="B57" s="28" t="s">
        <v>148</v>
      </c>
      <c r="D57" s="244" t="s">
        <v>145</v>
      </c>
      <c r="E57" s="248">
        <v>0</v>
      </c>
      <c r="F57" s="248">
        <v>0</v>
      </c>
      <c r="G57" s="248">
        <v>131905</v>
      </c>
      <c r="H57" s="248">
        <v>-14844</v>
      </c>
      <c r="I57" s="248">
        <v>278153</v>
      </c>
      <c r="J57" s="248">
        <v>-29084</v>
      </c>
      <c r="K57" s="248">
        <v>429547</v>
      </c>
      <c r="L57" s="248">
        <v>-44102</v>
      </c>
    </row>
    <row r="58" spans="1:14" ht="13.15" thickBot="1" x14ac:dyDescent="0.4">
      <c r="A58" s="277" t="s">
        <v>979</v>
      </c>
      <c r="B58" s="28" t="s">
        <v>148</v>
      </c>
      <c r="D58" s="244" t="s">
        <v>145</v>
      </c>
      <c r="E58" s="248">
        <v>0</v>
      </c>
      <c r="F58" s="248">
        <v>0</v>
      </c>
      <c r="G58" s="248">
        <v>134466</v>
      </c>
      <c r="H58" s="248">
        <v>-14844</v>
      </c>
      <c r="I58" s="248">
        <v>279349</v>
      </c>
      <c r="J58" s="248">
        <v>-29084</v>
      </c>
      <c r="K58" s="248">
        <v>433352</v>
      </c>
      <c r="L58" s="248">
        <v>-44102</v>
      </c>
    </row>
    <row r="59" spans="1:14" ht="13.15" thickBot="1" x14ac:dyDescent="0.4">
      <c r="A59" s="787"/>
      <c r="B59" s="28" t="s">
        <v>148</v>
      </c>
      <c r="D59" s="244" t="s">
        <v>145</v>
      </c>
      <c r="E59" s="248">
        <v>0</v>
      </c>
      <c r="F59" s="248">
        <v>0</v>
      </c>
      <c r="G59" s="248">
        <v>0</v>
      </c>
      <c r="H59" s="248">
        <v>0</v>
      </c>
      <c r="I59" s="248">
        <v>0</v>
      </c>
      <c r="J59" s="248">
        <v>0</v>
      </c>
      <c r="K59" s="248">
        <v>0</v>
      </c>
      <c r="L59" s="248">
        <v>0</v>
      </c>
    </row>
    <row r="60" spans="1:14" ht="13.15" thickBot="1" x14ac:dyDescent="0.4">
      <c r="A60" s="277"/>
      <c r="B60" s="28" t="s">
        <v>148</v>
      </c>
      <c r="D60" s="244" t="s">
        <v>145</v>
      </c>
      <c r="E60" s="248">
        <v>0</v>
      </c>
      <c r="F60" s="248">
        <v>0</v>
      </c>
      <c r="G60" s="248">
        <v>0</v>
      </c>
      <c r="H60" s="248">
        <v>0</v>
      </c>
      <c r="I60" s="248">
        <v>0</v>
      </c>
      <c r="J60" s="248">
        <v>0</v>
      </c>
      <c r="K60" s="248">
        <v>0</v>
      </c>
      <c r="L60" s="248">
        <v>0</v>
      </c>
    </row>
    <row r="61" spans="1:14" ht="13.15" thickBot="1" x14ac:dyDescent="0.4">
      <c r="A61" s="277"/>
      <c r="B61" s="28" t="s">
        <v>148</v>
      </c>
      <c r="D61" s="244" t="s">
        <v>145</v>
      </c>
      <c r="E61" s="248">
        <v>0</v>
      </c>
      <c r="F61" s="248">
        <v>0</v>
      </c>
      <c r="G61" s="248">
        <v>0</v>
      </c>
      <c r="H61" s="248">
        <v>0</v>
      </c>
      <c r="I61" s="248">
        <v>0</v>
      </c>
      <c r="J61" s="248">
        <v>0</v>
      </c>
      <c r="K61" s="248">
        <v>0</v>
      </c>
      <c r="L61" s="248">
        <v>0</v>
      </c>
    </row>
    <row r="62" spans="1:14" ht="13.15" thickBot="1" x14ac:dyDescent="0.4">
      <c r="A62" s="277"/>
      <c r="B62" s="28" t="s">
        <v>148</v>
      </c>
      <c r="D62" s="244" t="s">
        <v>145</v>
      </c>
      <c r="E62" s="248">
        <v>0</v>
      </c>
      <c r="F62" s="248">
        <v>0</v>
      </c>
      <c r="G62" s="248">
        <v>0</v>
      </c>
      <c r="H62" s="248">
        <v>0</v>
      </c>
      <c r="I62" s="248">
        <v>0</v>
      </c>
      <c r="J62" s="248">
        <v>0</v>
      </c>
      <c r="K62" s="248">
        <v>0</v>
      </c>
      <c r="L62" s="248">
        <v>0</v>
      </c>
    </row>
    <row r="63" spans="1:14" ht="13.15" thickBot="1" x14ac:dyDescent="0.4">
      <c r="A63" s="277"/>
      <c r="B63" s="28" t="s">
        <v>148</v>
      </c>
      <c r="D63" s="244" t="s">
        <v>145</v>
      </c>
      <c r="E63" s="239">
        <v>0</v>
      </c>
      <c r="F63" s="239">
        <v>0</v>
      </c>
      <c r="G63" s="248">
        <v>0</v>
      </c>
      <c r="H63" s="248">
        <v>0</v>
      </c>
      <c r="I63" s="248">
        <v>0</v>
      </c>
      <c r="J63" s="248">
        <v>0</v>
      </c>
      <c r="K63" s="248">
        <v>0</v>
      </c>
      <c r="L63" s="248">
        <v>0</v>
      </c>
    </row>
    <row r="64" spans="1:14" ht="13.15" thickBot="1" x14ac:dyDescent="0.4">
      <c r="A64" s="277"/>
      <c r="B64" s="28" t="s">
        <v>148</v>
      </c>
      <c r="D64" s="244" t="s">
        <v>145</v>
      </c>
      <c r="E64" s="248">
        <v>0</v>
      </c>
      <c r="F64" s="248">
        <v>0</v>
      </c>
      <c r="G64" s="248">
        <v>0</v>
      </c>
      <c r="H64" s="248">
        <v>0</v>
      </c>
      <c r="I64" s="248">
        <v>0</v>
      </c>
      <c r="J64" s="248">
        <v>0</v>
      </c>
      <c r="K64" s="248">
        <v>0</v>
      </c>
      <c r="L64" s="248">
        <v>0</v>
      </c>
    </row>
    <row r="65" spans="1:12" ht="13.15" thickBot="1" x14ac:dyDescent="0.4">
      <c r="A65" s="277"/>
      <c r="B65" s="28" t="s">
        <v>148</v>
      </c>
      <c r="D65" s="244" t="s">
        <v>145</v>
      </c>
      <c r="E65" s="248">
        <v>0</v>
      </c>
      <c r="F65" s="248">
        <v>0</v>
      </c>
      <c r="G65" s="248">
        <v>0</v>
      </c>
      <c r="H65" s="248">
        <v>0</v>
      </c>
      <c r="I65" s="248">
        <v>0</v>
      </c>
      <c r="J65" s="248">
        <v>0</v>
      </c>
      <c r="K65" s="248">
        <v>0</v>
      </c>
      <c r="L65" s="248">
        <v>0</v>
      </c>
    </row>
    <row r="66" spans="1:12" ht="13.15" thickBot="1" x14ac:dyDescent="0.4">
      <c r="A66" s="277"/>
      <c r="B66" s="28" t="s">
        <v>148</v>
      </c>
      <c r="D66" s="244" t="s">
        <v>167</v>
      </c>
      <c r="E66" s="239">
        <v>0</v>
      </c>
      <c r="F66" s="239">
        <v>0</v>
      </c>
      <c r="G66" s="248">
        <v>0</v>
      </c>
      <c r="H66" s="248">
        <v>0</v>
      </c>
      <c r="I66" s="248">
        <v>0</v>
      </c>
      <c r="J66" s="248">
        <v>0</v>
      </c>
      <c r="K66" s="248">
        <v>0</v>
      </c>
      <c r="L66" s="248">
        <v>0</v>
      </c>
    </row>
    <row r="67" spans="1:12" ht="13.15" thickBot="1" x14ac:dyDescent="0.4">
      <c r="A67" s="277"/>
      <c r="B67" s="28" t="s">
        <v>148</v>
      </c>
      <c r="D67" s="244" t="s">
        <v>145</v>
      </c>
      <c r="E67" s="248">
        <v>0</v>
      </c>
      <c r="F67" s="248">
        <v>0</v>
      </c>
      <c r="G67" s="248">
        <v>0</v>
      </c>
      <c r="H67" s="248">
        <v>0</v>
      </c>
      <c r="I67" s="248">
        <v>0</v>
      </c>
      <c r="J67" s="248">
        <v>0</v>
      </c>
      <c r="K67" s="248">
        <v>0</v>
      </c>
      <c r="L67" s="248">
        <v>0</v>
      </c>
    </row>
    <row r="68" spans="1:12" ht="13.15" thickBot="1" x14ac:dyDescent="0.4">
      <c r="A68" s="277"/>
      <c r="B68" s="28" t="s">
        <v>148</v>
      </c>
      <c r="D68" s="244" t="s">
        <v>145</v>
      </c>
      <c r="E68" s="248">
        <v>0</v>
      </c>
      <c r="F68" s="248">
        <v>0</v>
      </c>
      <c r="G68" s="248">
        <v>0</v>
      </c>
      <c r="H68" s="248">
        <v>0</v>
      </c>
      <c r="I68" s="248">
        <v>0</v>
      </c>
      <c r="J68" s="248">
        <v>0</v>
      </c>
      <c r="K68" s="248">
        <v>0</v>
      </c>
      <c r="L68" s="248">
        <v>0</v>
      </c>
    </row>
    <row r="69" spans="1:12" ht="13.15" thickBot="1" x14ac:dyDescent="0.4">
      <c r="A69" s="277"/>
      <c r="B69" s="28" t="s">
        <v>148</v>
      </c>
      <c r="D69" s="244" t="s">
        <v>145</v>
      </c>
      <c r="E69" s="248">
        <v>0</v>
      </c>
      <c r="F69" s="248">
        <v>0</v>
      </c>
      <c r="G69" s="248">
        <v>0</v>
      </c>
      <c r="H69" s="248">
        <v>0</v>
      </c>
      <c r="I69" s="248">
        <v>0</v>
      </c>
      <c r="J69" s="248">
        <v>0</v>
      </c>
      <c r="K69" s="248">
        <v>0</v>
      </c>
      <c r="L69" s="248">
        <v>0</v>
      </c>
    </row>
    <row r="70" spans="1:12" ht="13.15" thickBot="1" x14ac:dyDescent="0.4">
      <c r="A70" s="277"/>
      <c r="B70" s="28" t="s">
        <v>148</v>
      </c>
      <c r="D70" s="244" t="s">
        <v>145</v>
      </c>
      <c r="E70" s="248">
        <v>0</v>
      </c>
      <c r="F70" s="248">
        <v>0</v>
      </c>
      <c r="G70" s="248">
        <v>0</v>
      </c>
      <c r="H70" s="248">
        <v>0</v>
      </c>
      <c r="I70" s="248">
        <v>0</v>
      </c>
      <c r="J70" s="248">
        <v>0</v>
      </c>
      <c r="K70" s="248">
        <v>0</v>
      </c>
      <c r="L70" s="248">
        <v>0</v>
      </c>
    </row>
    <row r="71" spans="1:12" ht="13.15" thickBot="1" x14ac:dyDescent="0.4">
      <c r="A71" s="245"/>
      <c r="B71" s="28" t="s">
        <v>148</v>
      </c>
      <c r="D71" s="244" t="s">
        <v>145</v>
      </c>
      <c r="E71" s="248">
        <v>0</v>
      </c>
      <c r="F71" s="248">
        <v>0</v>
      </c>
      <c r="G71" s="248">
        <v>0</v>
      </c>
      <c r="H71" s="248">
        <v>0</v>
      </c>
      <c r="I71" s="248">
        <v>0</v>
      </c>
      <c r="J71" s="248">
        <v>0</v>
      </c>
      <c r="K71" s="248">
        <v>0</v>
      </c>
      <c r="L71" s="248">
        <v>0</v>
      </c>
    </row>
    <row r="72" spans="1:12" ht="13.15" thickBot="1" x14ac:dyDescent="0.4">
      <c r="A72" s="245"/>
      <c r="B72" s="28" t="s">
        <v>148</v>
      </c>
      <c r="D72" s="244" t="s">
        <v>145</v>
      </c>
      <c r="E72" s="248">
        <v>0</v>
      </c>
      <c r="F72" s="248">
        <v>0</v>
      </c>
      <c r="G72" s="248">
        <v>0</v>
      </c>
      <c r="H72" s="248">
        <v>0</v>
      </c>
      <c r="I72" s="248">
        <v>0</v>
      </c>
      <c r="J72" s="248">
        <v>0</v>
      </c>
      <c r="K72" s="248">
        <v>0</v>
      </c>
      <c r="L72" s="248">
        <v>0</v>
      </c>
    </row>
    <row r="73" spans="1:12" ht="13.15" thickBot="1" x14ac:dyDescent="0.4">
      <c r="B73" s="28" t="s">
        <v>148</v>
      </c>
      <c r="D73" s="244" t="s">
        <v>145</v>
      </c>
      <c r="E73" s="248">
        <v>0</v>
      </c>
      <c r="F73" s="248">
        <v>0</v>
      </c>
      <c r="G73" s="248">
        <v>0</v>
      </c>
      <c r="H73" s="248">
        <v>0</v>
      </c>
      <c r="I73" s="248">
        <v>0</v>
      </c>
      <c r="J73" s="248">
        <v>0</v>
      </c>
      <c r="K73" s="248">
        <v>0</v>
      </c>
      <c r="L73" s="248">
        <v>0</v>
      </c>
    </row>
    <row r="74" spans="1:12" ht="13.15" thickBot="1" x14ac:dyDescent="0.4">
      <c r="D74" s="244" t="s">
        <v>145</v>
      </c>
      <c r="E74" s="248">
        <v>0</v>
      </c>
      <c r="F74" s="248">
        <v>0</v>
      </c>
      <c r="G74" s="248">
        <v>0</v>
      </c>
      <c r="H74" s="248">
        <v>0</v>
      </c>
      <c r="I74" s="248">
        <v>0</v>
      </c>
      <c r="J74" s="248">
        <v>0</v>
      </c>
      <c r="K74" s="248">
        <v>0</v>
      </c>
      <c r="L74" s="248">
        <v>0</v>
      </c>
    </row>
  </sheetData>
  <mergeCells count="5">
    <mergeCell ref="A2:G2"/>
    <mergeCell ref="E42:F42"/>
    <mergeCell ref="G42:H42"/>
    <mergeCell ref="I42:J42"/>
    <mergeCell ref="K42:L4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  <headerFooter>
    <oddFooter>&amp;L&amp;D&amp;T&amp;R&amp;F</oddFoot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7:T208"/>
  <sheetViews>
    <sheetView topLeftCell="A115" workbookViewId="0">
      <selection activeCell="D127" sqref="D127:G127"/>
    </sheetView>
  </sheetViews>
  <sheetFormatPr defaultColWidth="9.46484375" defaultRowHeight="12.75" x14ac:dyDescent="0.35"/>
  <cols>
    <col min="3" max="3" width="19.46484375" customWidth="1"/>
    <col min="4" max="4" width="20.53125" style="495" customWidth="1"/>
    <col min="5" max="5" width="10.46484375" style="495" customWidth="1"/>
    <col min="6" max="7" width="11" style="495" customWidth="1"/>
    <col min="8" max="9" width="6.46484375" customWidth="1"/>
    <col min="10" max="10" width="14.53125" style="181" bestFit="1" customWidth="1"/>
    <col min="11" max="13" width="11.53125" style="181" bestFit="1" customWidth="1"/>
    <col min="15" max="15" width="14.53125" customWidth="1"/>
  </cols>
  <sheetData>
    <row r="7" spans="1:17" x14ac:dyDescent="0.35">
      <c r="D7" s="495">
        <f>+Aktivitetsudvidelser!F11</f>
        <v>2027</v>
      </c>
      <c r="E7" s="495">
        <f>+D7+1</f>
        <v>2028</v>
      </c>
      <c r="F7" s="495">
        <f>+E7+1</f>
        <v>2029</v>
      </c>
      <c r="G7" s="495">
        <f>+F7+1</f>
        <v>2030</v>
      </c>
    </row>
    <row r="8" spans="1:17" ht="13.15" thickBot="1" x14ac:dyDescent="0.4">
      <c r="A8" t="s">
        <v>106</v>
      </c>
      <c r="J8" s="593"/>
      <c r="K8" s="593"/>
      <c r="L8" s="593"/>
      <c r="M8" s="593"/>
    </row>
    <row r="9" spans="1:17" ht="13.15" thickBot="1" x14ac:dyDescent="0.4">
      <c r="B9" s="28" t="s">
        <v>336</v>
      </c>
      <c r="D9" s="239">
        <v>475923.87199999997</v>
      </c>
      <c r="E9" s="239">
        <v>465291.4</v>
      </c>
      <c r="F9" s="239">
        <v>473371.386</v>
      </c>
      <c r="G9" s="239">
        <v>473371.386</v>
      </c>
    </row>
    <row r="10" spans="1:17" x14ac:dyDescent="0.35">
      <c r="C10" t="s">
        <v>29</v>
      </c>
      <c r="D10" s="592">
        <f>SUMIFS('Tekniske korrektioner'!F$13:F$288,'Tekniske korrektioner'!$K$13:$K$288,"x",'Tekniske korrektioner'!$C$13:$C$288,"11")+SUMIFS('Tekniske korrektioner'!E$13:E$288,'Tekniske korrektioner'!$K$13:$K$288,"x",'Tekniske korrektioner'!$C$13:$C$288,"11")</f>
        <v>7185</v>
      </c>
      <c r="E10" s="592">
        <f>SUMIFS('Tekniske korrektioner'!G$13:G$288,'Tekniske korrektioner'!$K$13:$K$288,"x",'Tekniske korrektioner'!$C$13:$C$288,"11")</f>
        <v>8224</v>
      </c>
      <c r="F10" s="592">
        <f>SUMIFS('Tekniske korrektioner'!H$13:H$288,'Tekniske korrektioner'!$K$13:$K$288,"x",'Tekniske korrektioner'!$C$13:$C$288,"11")</f>
        <v>7970</v>
      </c>
      <c r="G10" s="592">
        <f>SUMIFS('Tekniske korrektioner'!I$13:I$288,'Tekniske korrektioner'!$K$13:$K$288,"x",'Tekniske korrektioner'!$C$13:$C$288,"11")</f>
        <v>-545</v>
      </c>
      <c r="J10" s="593"/>
      <c r="K10" s="593"/>
      <c r="L10" s="593"/>
      <c r="M10" s="593"/>
    </row>
    <row r="11" spans="1:17" x14ac:dyDescent="0.35">
      <c r="C11" s="28" t="s">
        <v>107</v>
      </c>
      <c r="D11" s="592">
        <f>SUMIFS('Afledt drift'!E$13:E$78,'Afledt drift'!$J$13:$J$78,"x",'Afledt drift'!$C$13:$C$78,"11")</f>
        <v>106</v>
      </c>
      <c r="E11" s="592">
        <f>SUMIFS('Afledt drift'!F$13:F$78,'Afledt drift'!$J$13:$J$78,"x",'Afledt drift'!$C$13:$C$78,"11")</f>
        <v>296</v>
      </c>
      <c r="F11" s="592">
        <f>SUMIFS('Afledt drift'!G$13:G$78,'Afledt drift'!$J$13:$J$78,"x",'Afledt drift'!$C$13:$C$78,"11")</f>
        <v>296</v>
      </c>
      <c r="G11" s="592">
        <f>SUMIFS('Afledt drift'!H$13:H$78,'Afledt drift'!$J$13:$J$78,"x",'Afledt drift'!$C$13:$C$78,"11")</f>
        <v>106</v>
      </c>
      <c r="J11" s="594">
        <f>(D14-J14)</f>
        <v>-12073.128000000026</v>
      </c>
      <c r="K11" s="594">
        <f>(E14-K14)</f>
        <v>-7511.5999999999767</v>
      </c>
      <c r="L11" s="594">
        <f>(F14-L14)</f>
        <v>-7411.6140000000014</v>
      </c>
      <c r="M11" s="594">
        <f>(G14-M14)</f>
        <v>-4477.6140000000014</v>
      </c>
      <c r="O11" t="s">
        <v>110</v>
      </c>
    </row>
    <row r="12" spans="1:17" x14ac:dyDescent="0.35">
      <c r="C12" t="s">
        <v>108</v>
      </c>
      <c r="D12" s="592">
        <f>SUMIFS(Aktivitetsudvidelser!F$14:F$197,Aktivitetsudvidelser!$L$14:$L$197,"x",Aktivitetsudvidelser!$D$14:$D$197,"11")</f>
        <v>8451</v>
      </c>
      <c r="E12" s="592">
        <f>SUMIFS(Aktivitetsudvidelser!G$14:G$197,Aktivitetsudvidelser!$L$14:$L$197,"x",Aktivitetsudvidelser!$D$14:$D$197,"11")</f>
        <v>8991</v>
      </c>
      <c r="F12" s="592">
        <f>SUMIFS(Aktivitetsudvidelser!H$14:H$197,Aktivitetsudvidelser!$L$14:$L$197,"x",Aktivitetsudvidelser!$D$14:$D$197,"11")</f>
        <v>8991</v>
      </c>
      <c r="G12" s="592">
        <f>SUMIFS(Aktivitetsudvidelser!I$14:I$197,Aktivitetsudvidelser!$L$14:$L$197,"x",Aktivitetsudvidelser!$D$14:$D$197,"11")</f>
        <v>8991</v>
      </c>
    </row>
    <row r="13" spans="1:17" ht="13.15" thickBot="1" x14ac:dyDescent="0.4">
      <c r="C13" t="s">
        <v>39</v>
      </c>
      <c r="D13" s="592">
        <f>SUMIFS(Finansieringsforslag!H$12:H$165,Finansieringsforslag!$N$12:$N$165,"x",Finansieringsforslag!$E$12:$E$165,"11")</f>
        <v>-20625</v>
      </c>
      <c r="E13" s="592">
        <f>SUMIFS(Finansieringsforslag!$I$12:$I$165,Finansieringsforslag!$N$12:$N$165,"x",Finansieringsforslag!$E$12:$E$165,"11")</f>
        <v>-16795</v>
      </c>
      <c r="F13" s="592">
        <f>SUMIFS(Finansieringsforslag!$J$12:$J$165,Finansieringsforslag!$N$12:$N$165,"x",Finansieringsforslag!$E$12:$E$165,"11")</f>
        <v>-16695</v>
      </c>
      <c r="G13" s="592">
        <f>SUMIFS(Finansieringsforslag!$K$12:$K$165,Finansieringsforslag!$N$12:$N$165,"x",Finansieringsforslag!$E$12:$E$165,"11")</f>
        <v>-13570</v>
      </c>
    </row>
    <row r="14" spans="1:17" ht="13.15" thickBot="1" x14ac:dyDescent="0.4">
      <c r="B14" s="28" t="s">
        <v>337</v>
      </c>
      <c r="D14" s="592">
        <f>SUM(D9:D13)</f>
        <v>471040.87199999997</v>
      </c>
      <c r="E14" s="592">
        <f>SUM(E9:E13)</f>
        <v>466007.4</v>
      </c>
      <c r="F14" s="592">
        <f>SUM(F9:F13)</f>
        <v>473933.386</v>
      </c>
      <c r="G14" s="592">
        <f>SUM(G9:G13)</f>
        <v>468353.386</v>
      </c>
      <c r="I14" s="181"/>
      <c r="J14" s="239">
        <v>483114</v>
      </c>
      <c r="K14" s="239">
        <v>473519</v>
      </c>
      <c r="L14" s="239">
        <v>481345</v>
      </c>
      <c r="M14" s="239">
        <v>472831</v>
      </c>
      <c r="N14" t="s">
        <v>118</v>
      </c>
      <c r="O14" s="147" t="s">
        <v>979</v>
      </c>
    </row>
    <row r="15" spans="1:17" x14ac:dyDescent="0.35">
      <c r="D15" s="592"/>
      <c r="E15" s="592"/>
      <c r="F15" s="592"/>
      <c r="G15" s="592"/>
      <c r="Q15" s="105"/>
    </row>
    <row r="16" spans="1:17" x14ac:dyDescent="0.35">
      <c r="D16" s="592"/>
      <c r="E16" s="592"/>
      <c r="F16" s="592"/>
      <c r="G16" s="592"/>
      <c r="Q16" s="28" t="s">
        <v>155</v>
      </c>
    </row>
    <row r="17" spans="1:15" ht="13.15" thickBot="1" x14ac:dyDescent="0.4">
      <c r="A17" t="s">
        <v>109</v>
      </c>
      <c r="D17" s="592"/>
      <c r="E17" s="592"/>
      <c r="F17" s="592"/>
      <c r="G17" s="592"/>
    </row>
    <row r="18" spans="1:15" ht="13.15" thickBot="1" x14ac:dyDescent="0.4">
      <c r="B18" s="28" t="str">
        <f>B9</f>
        <v>Oprindelig budget 2027-2030</v>
      </c>
      <c r="D18" s="239">
        <v>169925.58499999999</v>
      </c>
      <c r="E18" s="239">
        <v>169385.231</v>
      </c>
      <c r="F18" s="239">
        <v>167437.84700000001</v>
      </c>
      <c r="G18" s="239">
        <v>167437.84700000001</v>
      </c>
    </row>
    <row r="19" spans="1:15" x14ac:dyDescent="0.35">
      <c r="C19" t="s">
        <v>29</v>
      </c>
      <c r="D19" s="592">
        <f>SUMIFS('Tekniske korrektioner'!F$13:F$288,'Tekniske korrektioner'!$K$13:$K$288,"x",'Tekniske korrektioner'!$C$13:$C$288,"12")+SUMIFS('Tekniske korrektioner'!E$13:E$288,'Tekniske korrektioner'!$K$13:$K$288,"x",'Tekniske korrektioner'!$C$13:$C$288,"12")</f>
        <v>-12243</v>
      </c>
      <c r="E19" s="592">
        <f>SUMIFS('Tekniske korrektioner'!G$13:G$288,'Tekniske korrektioner'!$K$13:$K$288,"x",'Tekniske korrektioner'!$C$13:$C$288,"12")</f>
        <v>-2430</v>
      </c>
      <c r="F19" s="592">
        <f>SUMIFS('Tekniske korrektioner'!H$13:H$288,'Tekniske korrektioner'!$K$13:$K$288,"x",'Tekniske korrektioner'!$C$13:$C$288,"12")</f>
        <v>38</v>
      </c>
      <c r="G19" s="592">
        <f>SUMIFS('Tekniske korrektioner'!I$13:I$288,'Tekniske korrektioner'!$K$13:$K$288,"x",'Tekniske korrektioner'!$C$13:$C$288,"12")</f>
        <v>-3253</v>
      </c>
    </row>
    <row r="20" spans="1:15" x14ac:dyDescent="0.35">
      <c r="C20" s="28" t="s">
        <v>107</v>
      </c>
      <c r="D20" s="592">
        <f>SUMIFS('Afledt drift'!E$13:E$78,'Afledt drift'!$J$13:$J$78,"x",'Afledt drift'!$C$13:$C$78,"12")</f>
        <v>-1541</v>
      </c>
      <c r="E20" s="592">
        <f>SUMIFS('Afledt drift'!F$13:F$78,'Afledt drift'!$J$13:$J$78,"x",'Afledt drift'!$C$13:$C$78,"12")</f>
        <v>-1181</v>
      </c>
      <c r="F20" s="592">
        <f>SUMIFS('Afledt drift'!G$13:G$78,'Afledt drift'!$J$13:$J$78,"x",'Afledt drift'!$C$13:$C$78,"12")</f>
        <v>112</v>
      </c>
      <c r="G20" s="592">
        <f>SUMIFS('Afledt drift'!H$13:H$78,'Afledt drift'!$J$13:$J$78,"x",'Afledt drift'!$C$13:$C$78,"12")</f>
        <v>-298</v>
      </c>
      <c r="J20" s="594">
        <f>D23-J23</f>
        <v>-16367.415000000008</v>
      </c>
      <c r="K20" s="594">
        <f>E23-K23</f>
        <v>-15485.769</v>
      </c>
      <c r="L20" s="594">
        <f>F23-L23</f>
        <v>-14193.152999999991</v>
      </c>
      <c r="M20" s="594">
        <f>G23-M23</f>
        <v>-14603.152999999991</v>
      </c>
      <c r="O20" t="s">
        <v>110</v>
      </c>
    </row>
    <row r="21" spans="1:15" x14ac:dyDescent="0.35">
      <c r="C21" t="s">
        <v>108</v>
      </c>
      <c r="D21" s="592">
        <f>SUMIFS(Aktivitetsudvidelser!F$14:F$197,Aktivitetsudvidelser!$L$14:$L$197,"x",Aktivitetsudvidelser!$D$14:$D$197,"12")</f>
        <v>280</v>
      </c>
      <c r="E21" s="592">
        <f>SUMIFS(Aktivitetsudvidelser!G$14:G$197,Aktivitetsudvidelser!$L$14:$L$197,"x",Aktivitetsudvidelser!$D$14:$D$197,"12")</f>
        <v>300</v>
      </c>
      <c r="F21" s="592">
        <f>SUMIFS(Aktivitetsudvidelser!H$14:H$197,Aktivitetsudvidelser!$L$14:$L$197,"x",Aktivitetsudvidelser!$D$14:$D$197,"12")</f>
        <v>300</v>
      </c>
      <c r="G21" s="592">
        <f>SUMIFS(Aktivitetsudvidelser!I$14:I$197,Aktivitetsudvidelser!$L$14:$L$197,"x",Aktivitetsudvidelser!$D$14:$D$197,"12")</f>
        <v>300</v>
      </c>
    </row>
    <row r="22" spans="1:15" ht="13.15" thickBot="1" x14ac:dyDescent="0.4">
      <c r="C22" t="s">
        <v>39</v>
      </c>
      <c r="D22" s="592">
        <f>SUMIFS(Finansieringsforslag!H$12:H$175,Finansieringsforslag!$N$12:$N$175,"x",Finansieringsforslag!$E$12:$E$175,"12")</f>
        <v>-15257</v>
      </c>
      <c r="E22" s="592">
        <f>SUMIFS(Finansieringsforslag!I$12:I$175,Finansieringsforslag!$N$12:$N$175,"x",Finansieringsforslag!$E$12:$E$175,"12")</f>
        <v>-14605</v>
      </c>
      <c r="F22" s="592">
        <f>SUMIFS(Finansieringsforslag!J$12:J$175,Finansieringsforslag!$N$12:$N$175,"x",Finansieringsforslag!$E$12:$E$175,"12")</f>
        <v>-14605</v>
      </c>
      <c r="G22" s="592">
        <f>SUMIFS(Finansieringsforslag!K$12:K$175,Finansieringsforslag!$N$12:$N$175,"x",Finansieringsforslag!$E$12:$E$175,"12")</f>
        <v>-14605</v>
      </c>
    </row>
    <row r="23" spans="1:15" ht="13.15" thickBot="1" x14ac:dyDescent="0.4">
      <c r="B23" s="28" t="str">
        <f>B14</f>
        <v>Vedtaget budget 2027 - 2030</v>
      </c>
      <c r="D23" s="592">
        <f>SUM(D18:D22)</f>
        <v>141164.58499999999</v>
      </c>
      <c r="E23" s="592">
        <f>SUM(E18:E22)</f>
        <v>151469.231</v>
      </c>
      <c r="F23" s="592">
        <f>SUM(F18:F22)</f>
        <v>153282.84700000001</v>
      </c>
      <c r="G23" s="592">
        <f>SUM(G18:G22)</f>
        <v>149581.84700000001</v>
      </c>
      <c r="J23" s="239">
        <v>157532</v>
      </c>
      <c r="K23" s="239">
        <v>166955</v>
      </c>
      <c r="L23" s="239">
        <v>167476</v>
      </c>
      <c r="M23" s="239">
        <v>164185</v>
      </c>
      <c r="N23" t="s">
        <v>118</v>
      </c>
      <c r="O23" s="147" t="str">
        <f>O14</f>
        <v>24.08.2026</v>
      </c>
    </row>
    <row r="24" spans="1:15" x14ac:dyDescent="0.35">
      <c r="D24" s="592"/>
      <c r="E24" s="592"/>
      <c r="F24" s="592"/>
      <c r="G24" s="592"/>
    </row>
    <row r="25" spans="1:15" x14ac:dyDescent="0.35">
      <c r="D25" s="592"/>
      <c r="E25" s="592"/>
      <c r="F25" s="592"/>
      <c r="G25" s="592"/>
    </row>
    <row r="26" spans="1:15" ht="13.15" thickBot="1" x14ac:dyDescent="0.4">
      <c r="A26" s="28" t="s">
        <v>140</v>
      </c>
      <c r="D26" s="592"/>
      <c r="E26" s="592"/>
      <c r="F26" s="592"/>
      <c r="G26" s="592"/>
    </row>
    <row r="27" spans="1:15" ht="13.15" thickBot="1" x14ac:dyDescent="0.4">
      <c r="B27" s="28" t="str">
        <f>B9</f>
        <v>Oprindelig budget 2027-2030</v>
      </c>
      <c r="D27" s="239">
        <v>53966.777999999998</v>
      </c>
      <c r="E27" s="239">
        <v>53994.781999999999</v>
      </c>
      <c r="F27" s="239">
        <v>54048.281999999999</v>
      </c>
      <c r="G27" s="239">
        <v>54048.281999999999</v>
      </c>
    </row>
    <row r="28" spans="1:15" x14ac:dyDescent="0.35">
      <c r="C28" t="s">
        <v>29</v>
      </c>
      <c r="D28" s="592">
        <f>SUMIFS('Tekniske korrektioner'!F$13:F$288,'Tekniske korrektioner'!$K$13:$K$288,"x",'Tekniske korrektioner'!$C$13:$C$288,"13")+SUMIFS('Tekniske korrektioner'!E$13:E$288,'Tekniske korrektioner'!$K$13:$K$288,"x",'Tekniske korrektioner'!$C$13:$C$288,"13")</f>
        <v>872</v>
      </c>
      <c r="E28" s="592">
        <f>SUMIFS('Tekniske korrektioner'!G$13:G$288,'Tekniske korrektioner'!$K$13:$K$288,"x",'Tekniske korrektioner'!$C$13:$C$288,"13")</f>
        <v>1088</v>
      </c>
      <c r="F28" s="592">
        <f>SUMIFS('Tekniske korrektioner'!H$13:H$288,'Tekniske korrektioner'!$K$13:$K$288,"x",'Tekniske korrektioner'!$C$13:$C$288,"13")</f>
        <v>891</v>
      </c>
      <c r="G28" s="592">
        <f>SUMIFS('Tekniske korrektioner'!I$13:I$288,'Tekniske korrektioner'!$K$13:$K$288,"x",'Tekniske korrektioner'!$C$13:$C$288,"13")</f>
        <v>731</v>
      </c>
    </row>
    <row r="29" spans="1:15" x14ac:dyDescent="0.35">
      <c r="C29" s="28" t="s">
        <v>107</v>
      </c>
      <c r="D29" s="592">
        <f>SUMIFS('Afledt drift'!E$13:E$78,'Afledt drift'!$J$13:$J$78,"x",'Afledt drift'!$C$13:$C$78,"13")</f>
        <v>-277</v>
      </c>
      <c r="E29" s="592">
        <f>SUMIFS('Afledt drift'!F$13:F$78,'Afledt drift'!$J$13:$J$78,"x",'Afledt drift'!$C$13:$C$78,"13")</f>
        <v>-325</v>
      </c>
      <c r="F29" s="592">
        <f>SUMIFS('Afledt drift'!G$13:G$78,'Afledt drift'!$J$13:$J$78,"x",'Afledt drift'!$C$13:$C$78,"13")</f>
        <v>-133</v>
      </c>
      <c r="G29" s="592">
        <f>SUMIFS('Afledt drift'!H$13:H$78,'Afledt drift'!$J$13:$J$78,"x",'Afledt drift'!$C$13:$C$78,"13")</f>
        <v>-120</v>
      </c>
      <c r="J29" s="594">
        <f>D32-J32</f>
        <v>-534.22200000000157</v>
      </c>
      <c r="K29" s="594">
        <f>E32-K32</f>
        <v>-580.21800000000076</v>
      </c>
      <c r="L29" s="594">
        <f>F32-L32</f>
        <v>-389.71800000000076</v>
      </c>
      <c r="M29" s="594">
        <f>G32-M32</f>
        <v>-378.71800000000076</v>
      </c>
      <c r="O29" t="s">
        <v>110</v>
      </c>
    </row>
    <row r="30" spans="1:15" x14ac:dyDescent="0.35">
      <c r="C30" t="s">
        <v>108</v>
      </c>
      <c r="D30" s="592">
        <f>SUMIFS(Aktivitetsudvidelser!F$14:F$197,Aktivitetsudvidelser!$L$14:$L$197,"x",Aktivitetsudvidelser!$D$14:$D$197,"13")</f>
        <v>100</v>
      </c>
      <c r="E30" s="592">
        <f>SUMIFS(Aktivitetsudvidelser!G$14:G$197,Aktivitetsudvidelser!$L$14:$L$197,"x",Aktivitetsudvidelser!$D$14:$D$197,"13")</f>
        <v>100</v>
      </c>
      <c r="F30" s="592">
        <f>SUMIFS(Aktivitetsudvidelser!H$14:H$197,Aktivitetsudvidelser!$L$14:$L$197,"x",Aktivitetsudvidelser!$D$14:$D$197,"13")</f>
        <v>100</v>
      </c>
      <c r="G30" s="592">
        <f>SUMIFS(Aktivitetsudvidelser!I$14:I$197,Aktivitetsudvidelser!$L$14:$L$197,"x",Aktivitetsudvidelser!$D$14:$D$197,"13")</f>
        <v>100</v>
      </c>
    </row>
    <row r="31" spans="1:15" ht="13.15" thickBot="1" x14ac:dyDescent="0.4">
      <c r="C31" t="s">
        <v>39</v>
      </c>
      <c r="D31" s="592">
        <f>SUMIFS(Finansieringsforslag!H$12:H$165,Finansieringsforslag!$N$12:$N$165,"x",Finansieringsforslag!$E$12:$E$165,"13")</f>
        <v>-360</v>
      </c>
      <c r="E31" s="592">
        <f>SUMIFS(Finansieringsforslag!$I$12:$I$165,Finansieringsforslag!$N$12:$N$165,"x",Finansieringsforslag!$E$12:$E$165,"13")</f>
        <v>-360</v>
      </c>
      <c r="F31" s="592">
        <f>SUMIFS(Finansieringsforslag!$J$12:$J$165,Finansieringsforslag!$N$12:$N$165,"x",Finansieringsforslag!$E$12:$E$165,"13")</f>
        <v>-360</v>
      </c>
      <c r="G31" s="592">
        <f>SUMIFS(Finansieringsforslag!$K$12:$K$165,Finansieringsforslag!$N$12:$N$165,"x",Finansieringsforslag!$E$12:$E$165,"13")</f>
        <v>-360</v>
      </c>
    </row>
    <row r="32" spans="1:15" ht="13.15" thickBot="1" x14ac:dyDescent="0.4">
      <c r="B32" s="28" t="str">
        <f>B14</f>
        <v>Vedtaget budget 2027 - 2030</v>
      </c>
      <c r="D32" s="592">
        <f>SUM(D27:D31)</f>
        <v>54301.777999999998</v>
      </c>
      <c r="E32" s="592">
        <f>SUM(E27:E31)</f>
        <v>54497.781999999999</v>
      </c>
      <c r="F32" s="592">
        <f>SUM(F27:F31)</f>
        <v>54546.281999999999</v>
      </c>
      <c r="G32" s="592">
        <f>SUM(G27:G31)</f>
        <v>54399.281999999999</v>
      </c>
      <c r="J32" s="239">
        <v>54836</v>
      </c>
      <c r="K32" s="239">
        <v>55078</v>
      </c>
      <c r="L32" s="239">
        <v>54936</v>
      </c>
      <c r="M32" s="239">
        <v>54778</v>
      </c>
      <c r="N32" t="s">
        <v>118</v>
      </c>
      <c r="O32" s="147" t="str">
        <f>O14</f>
        <v>24.08.2026</v>
      </c>
    </row>
    <row r="35" spans="1:20" ht="13.15" thickBot="1" x14ac:dyDescent="0.4">
      <c r="A35" s="28" t="s">
        <v>161</v>
      </c>
      <c r="D35" s="592"/>
      <c r="E35" s="592"/>
      <c r="F35" s="592"/>
      <c r="G35" s="592"/>
    </row>
    <row r="36" spans="1:20" ht="13.15" thickBot="1" x14ac:dyDescent="0.4">
      <c r="B36" s="28" t="str">
        <f>B9</f>
        <v>Oprindelig budget 2027-2030</v>
      </c>
      <c r="D36" s="239">
        <v>13943.986000000001</v>
      </c>
      <c r="E36" s="239">
        <v>13791.991</v>
      </c>
      <c r="F36" s="239">
        <v>13791.989</v>
      </c>
      <c r="G36" s="239">
        <v>13791.989</v>
      </c>
    </row>
    <row r="37" spans="1:20" x14ac:dyDescent="0.35">
      <c r="C37" t="s">
        <v>29</v>
      </c>
      <c r="D37" s="592">
        <f>SUMIFS('Tekniske korrektioner'!F$13:F$288,'Tekniske korrektioner'!$K$13:$K$288,"x",'Tekniske korrektioner'!$C$13:$C$288,"21")</f>
        <v>-972</v>
      </c>
      <c r="E37" s="592">
        <f>SUMIFS('Tekniske korrektioner'!G$13:G$288,'Tekniske korrektioner'!$K$13:$K$288,"x",'Tekniske korrektioner'!$C$13:$C$288,"21")</f>
        <v>-972</v>
      </c>
      <c r="F37" s="592">
        <f>SUMIFS('Tekniske korrektioner'!H$13:H$288,'Tekniske korrektioner'!$K$13:$K$288,"x",'Tekniske korrektioner'!$C$13:$C$288,"21")</f>
        <v>-971</v>
      </c>
      <c r="G37" s="592">
        <f>SUMIFS('Tekniske korrektioner'!I$13:I$288,'Tekniske korrektioner'!$K$13:$K$288,"x",'Tekniske korrektioner'!$C$13:$C$288,"21")</f>
        <v>-971</v>
      </c>
      <c r="S37" t="s">
        <v>155</v>
      </c>
    </row>
    <row r="38" spans="1:20" x14ac:dyDescent="0.35">
      <c r="C38" s="28" t="s">
        <v>107</v>
      </c>
      <c r="D38" s="592">
        <f>SUMIFS('Afledt drift'!E$13:E$78,'Afledt drift'!$J$13:$J$78,"x",'Afledt drift'!$C$13:$C$78,"21")</f>
        <v>0</v>
      </c>
      <c r="E38" s="592">
        <f>SUMIFS('Afledt drift'!F$13:F$78,'Afledt drift'!$J$13:$J$78,"x",'Afledt drift'!$C$13:$C$78,"21")</f>
        <v>0</v>
      </c>
      <c r="F38" s="592">
        <f>SUMIFS('Afledt drift'!G$13:G$78,'Afledt drift'!$J$13:$J$78,"x",'Afledt drift'!$C$13:$C$78,"21")</f>
        <v>0</v>
      </c>
      <c r="G38" s="592">
        <f>SUMIFS('Afledt drift'!H$13:H$78,'Afledt drift'!$J$13:$J$78,"x",'Afledt drift'!$C$13:$C$78,"21")</f>
        <v>0</v>
      </c>
      <c r="J38" s="786">
        <f>D41-J41</f>
        <v>2698.9860000000008</v>
      </c>
      <c r="K38" s="786">
        <f>E41-K41</f>
        <v>2698.991</v>
      </c>
      <c r="L38" s="786">
        <f>F41-L41</f>
        <v>2698.9889999999996</v>
      </c>
      <c r="M38" s="786">
        <f>G41-M41</f>
        <v>2698.9889999999996</v>
      </c>
      <c r="O38" t="s">
        <v>110</v>
      </c>
    </row>
    <row r="39" spans="1:20" x14ac:dyDescent="0.35">
      <c r="C39" t="s">
        <v>108</v>
      </c>
      <c r="D39" s="592">
        <f>SUMIFS(Aktivitetsudvidelser!F$14:F$197,Aktivitetsudvidelser!$L$14:$L$197,"x",Aktivitetsudvidelser!$D$14:$D$197,"21")</f>
        <v>2900</v>
      </c>
      <c r="E39" s="592">
        <f>SUMIFS(Aktivitetsudvidelser!G$14:G$197,Aktivitetsudvidelser!$L$14:$L$197,"x",Aktivitetsudvidelser!$D$14:$D$197,"21")</f>
        <v>2900</v>
      </c>
      <c r="F39" s="592">
        <f>SUMIFS(Aktivitetsudvidelser!H$14:H$197,Aktivitetsudvidelser!$L$14:$L$197,"x",Aktivitetsudvidelser!$D$14:$D$197,"21")</f>
        <v>2900</v>
      </c>
      <c r="G39" s="592">
        <f>SUMIFS(Aktivitetsudvidelser!I$14:I$197,Aktivitetsudvidelser!$L$14:$L$197,"x",Aktivitetsudvidelser!$D$14:$D$197,"21")</f>
        <v>2900</v>
      </c>
    </row>
    <row r="40" spans="1:20" ht="13.15" thickBot="1" x14ac:dyDescent="0.4">
      <c r="C40" t="s">
        <v>39</v>
      </c>
      <c r="D40" s="592">
        <f>SUMIFS(Finansieringsforslag!H$12:H$165,Finansieringsforslag!$N$12:$N$165,"x",Finansieringsforslag!$E$12:$E$165,"21")</f>
        <v>-200</v>
      </c>
      <c r="E40" s="592">
        <f>SUMIFS(Finansieringsforslag!$I$12:$I$165,Finansieringsforslag!$N$12:$N$165,"x",Finansieringsforslag!$E$12:$E$165,"21")</f>
        <v>-200</v>
      </c>
      <c r="F40" s="592">
        <f>SUMIFS(Finansieringsforslag!$J$12:$J$165,Finansieringsforslag!$N$12:$N$165,"x",Finansieringsforslag!$E$12:$E$165,"21")</f>
        <v>-200</v>
      </c>
      <c r="G40" s="592">
        <f>SUMIFS(Finansieringsforslag!$K$12:$K$165,Finansieringsforslag!$N$12:$N$165,"x",Finansieringsforslag!$E$12:$E$165,"21")</f>
        <v>-200</v>
      </c>
    </row>
    <row r="41" spans="1:20" ht="13.15" thickBot="1" x14ac:dyDescent="0.4">
      <c r="B41" s="28" t="str">
        <f>B14</f>
        <v>Vedtaget budget 2027 - 2030</v>
      </c>
      <c r="D41" s="592">
        <f>SUM(D35:D40)</f>
        <v>15671.986000000001</v>
      </c>
      <c r="E41" s="592">
        <f>SUM(E35:E40)</f>
        <v>15519.991</v>
      </c>
      <c r="F41" s="592">
        <f>SUM(F35:F40)</f>
        <v>15520.989</v>
      </c>
      <c r="G41" s="592">
        <f>SUM(G35:G40)</f>
        <v>15520.989</v>
      </c>
      <c r="J41" s="239">
        <v>12973</v>
      </c>
      <c r="K41" s="239">
        <v>12821</v>
      </c>
      <c r="L41" s="239">
        <v>12822</v>
      </c>
      <c r="M41" s="239">
        <v>12822</v>
      </c>
      <c r="N41" t="s">
        <v>118</v>
      </c>
      <c r="O41" s="147" t="str">
        <f>O14</f>
        <v>24.08.2026</v>
      </c>
    </row>
    <row r="42" spans="1:20" x14ac:dyDescent="0.35">
      <c r="D42" s="592"/>
      <c r="E42" s="592"/>
      <c r="F42" s="592"/>
      <c r="G42" s="592"/>
    </row>
    <row r="43" spans="1:20" x14ac:dyDescent="0.35">
      <c r="D43" s="592"/>
      <c r="E43" s="592"/>
      <c r="F43" s="592"/>
      <c r="G43" s="592"/>
    </row>
    <row r="44" spans="1:20" ht="13.15" thickBot="1" x14ac:dyDescent="0.4">
      <c r="A44" s="28" t="s">
        <v>136</v>
      </c>
      <c r="D44" s="592"/>
      <c r="E44" s="592"/>
      <c r="F44" s="592"/>
      <c r="G44" s="592"/>
    </row>
    <row r="45" spans="1:20" ht="13.15" thickBot="1" x14ac:dyDescent="0.4">
      <c r="B45" s="28" t="str">
        <f>B9</f>
        <v>Oprindelig budget 2027-2030</v>
      </c>
      <c r="D45" s="239">
        <v>3356.6959999999999</v>
      </c>
      <c r="E45" s="239">
        <v>3358.7150000000001</v>
      </c>
      <c r="F45" s="239">
        <v>3358.7150000000001</v>
      </c>
      <c r="G45" s="239">
        <v>3358.7150000000001</v>
      </c>
      <c r="T45" t="s">
        <v>155</v>
      </c>
    </row>
    <row r="46" spans="1:20" x14ac:dyDescent="0.35">
      <c r="C46" t="s">
        <v>29</v>
      </c>
      <c r="D46" s="592">
        <f>SUMIFS('Tekniske korrektioner'!F$13:F$288,'Tekniske korrektioner'!$K$13:$K$288,"x",'Tekniske korrektioner'!$C$13:$C$288,"23")+SUMIFS('Tekniske korrektioner'!E$13:E$288,'Tekniske korrektioner'!$K$13:$K$288,"x",'Tekniske korrektioner'!$C$13:$C$288,"23")</f>
        <v>-287</v>
      </c>
      <c r="E46" s="592">
        <f>SUMIFS('Tekniske korrektioner'!G$13:G$288,'Tekniske korrektioner'!$K$13:$K$288,"x",'Tekniske korrektioner'!$C$13:$C$288,"23")</f>
        <v>-240</v>
      </c>
      <c r="F46" s="592">
        <f>SUMIFS('Tekniske korrektioner'!H$13:H$288,'Tekniske korrektioner'!$K$13:$K$288,"x",'Tekniske korrektioner'!$C$13:$C$288,"23")</f>
        <v>-240</v>
      </c>
      <c r="G46" s="592">
        <f>SUMIFS('Tekniske korrektioner'!I$13:I$288,'Tekniske korrektioner'!$K$13:$K$288,"x",'Tekniske korrektioner'!$C$13:$C$288,"23")</f>
        <v>-240</v>
      </c>
    </row>
    <row r="47" spans="1:20" x14ac:dyDescent="0.35">
      <c r="C47" s="28" t="s">
        <v>107</v>
      </c>
      <c r="D47" s="592">
        <f>SUMIFS('Afledt drift'!E$13:E$78,'Afledt drift'!$J$13:$J$78,"x",'Afledt drift'!$C$13:$C$78,"23")</f>
        <v>0</v>
      </c>
      <c r="E47" s="592">
        <f>SUMIFS('Afledt drift'!F$13:F$78,'Afledt drift'!$J$13:$J$78,"x",'Afledt drift'!$C$13:$C$78,"23")</f>
        <v>0</v>
      </c>
      <c r="F47" s="592">
        <f>SUMIFS('Afledt drift'!G$13:G$78,'Afledt drift'!$J$13:$J$78,"x",'Afledt drift'!$C$13:$C$78,"23")</f>
        <v>0</v>
      </c>
      <c r="G47" s="592">
        <f>SUMIFS('Afledt drift'!H$13:H$78,'Afledt drift'!$J$13:$J$78,"x",'Afledt drift'!$C$13:$C$78,"23")</f>
        <v>0</v>
      </c>
      <c r="J47" s="594">
        <f>D50-J50</f>
        <v>-24.304000000000087</v>
      </c>
      <c r="K47" s="594">
        <f>E50-K50</f>
        <v>-25.284999999999854</v>
      </c>
      <c r="L47" s="594">
        <f>F50-L50</f>
        <v>-25.284999999999854</v>
      </c>
      <c r="M47" s="594">
        <f>G50-M50</f>
        <v>-25.284999999999854</v>
      </c>
      <c r="O47" t="s">
        <v>110</v>
      </c>
    </row>
    <row r="48" spans="1:20" x14ac:dyDescent="0.35">
      <c r="C48" t="s">
        <v>108</v>
      </c>
      <c r="D48" s="592">
        <f>SUMIFS(Aktivitetsudvidelser!F$14:F$197,Aktivitetsudvidelser!$L$14:$L$197,"x",Aktivitetsudvidelser!$D$14:$D$197,"23")</f>
        <v>0</v>
      </c>
      <c r="E48" s="592">
        <f>SUMIFS(Aktivitetsudvidelser!G$14:G$197,Aktivitetsudvidelser!$L$14:$L$197,"x",Aktivitetsudvidelser!$D$14:$D$197,"23")</f>
        <v>0</v>
      </c>
      <c r="F48" s="592">
        <f>SUMIFS(Aktivitetsudvidelser!H$14:H$197,Aktivitetsudvidelser!$L$14:$L$197,"x",Aktivitetsudvidelser!$D$14:$D$197,"23")</f>
        <v>0</v>
      </c>
      <c r="G48" s="592">
        <f>SUMIFS(Aktivitetsudvidelser!I$14:I$197,Aktivitetsudvidelser!$L$14:$L$197,"x",Aktivitetsudvidelser!$D$14:$D$197,"23")</f>
        <v>0</v>
      </c>
    </row>
    <row r="49" spans="1:19" ht="13.15" thickBot="1" x14ac:dyDescent="0.4">
      <c r="C49" t="s">
        <v>39</v>
      </c>
      <c r="D49" s="592">
        <f>SUMIFS(Finansieringsforslag!H$12:H$165,Finansieringsforslag!$N$12:$N$165,"x",Finansieringsforslag!$E$12:$E$165,"23")</f>
        <v>-27</v>
      </c>
      <c r="E49" s="592">
        <f>SUMIFS(Finansieringsforslag!$I$12:$I$165,Finansieringsforslag!$N$12:$N$165,"x",Finansieringsforslag!$E$12:$E$165,"23")</f>
        <v>-27</v>
      </c>
      <c r="F49" s="592">
        <f>SUMIFS(Finansieringsforslag!$J$12:$J$165,Finansieringsforslag!$N$12:$N$165,"x",Finansieringsforslag!$E$12:$E$165,"23")</f>
        <v>-27</v>
      </c>
      <c r="G49" s="592">
        <f>SUMIFS(Finansieringsforslag!$K$12:$K$165,Finansieringsforslag!$N$12:$N$165,"x",Finansieringsforslag!$E$12:$E$165,"23")</f>
        <v>-27</v>
      </c>
    </row>
    <row r="50" spans="1:19" ht="13.15" thickBot="1" x14ac:dyDescent="0.4">
      <c r="B50" s="28" t="str">
        <f>B14</f>
        <v>Vedtaget budget 2027 - 2030</v>
      </c>
      <c r="D50" s="592">
        <f>SUM(D44:D49)</f>
        <v>3042.6959999999999</v>
      </c>
      <c r="E50" s="592">
        <f>SUM(E44:E49)</f>
        <v>3091.7150000000001</v>
      </c>
      <c r="F50" s="592">
        <f>SUM(F44:F49)</f>
        <v>3091.7150000000001</v>
      </c>
      <c r="G50" s="592">
        <f>SUM(G44:G49)</f>
        <v>3091.7150000000001</v>
      </c>
      <c r="J50" s="239">
        <v>3067</v>
      </c>
      <c r="K50" s="239">
        <v>3117</v>
      </c>
      <c r="L50" s="239">
        <v>3117</v>
      </c>
      <c r="M50" s="239">
        <v>3117</v>
      </c>
      <c r="N50" t="s">
        <v>118</v>
      </c>
      <c r="O50" s="147" t="str">
        <f>O14</f>
        <v>24.08.2026</v>
      </c>
    </row>
    <row r="51" spans="1:19" x14ac:dyDescent="0.35">
      <c r="D51" s="592"/>
      <c r="E51" s="592"/>
      <c r="F51" s="592"/>
      <c r="G51" s="592"/>
    </row>
    <row r="52" spans="1:19" x14ac:dyDescent="0.35">
      <c r="D52" s="592"/>
      <c r="E52" s="592"/>
      <c r="F52" s="592"/>
      <c r="G52" s="592"/>
    </row>
    <row r="53" spans="1:19" ht="13.15" thickBot="1" x14ac:dyDescent="0.4">
      <c r="A53" s="28" t="s">
        <v>141</v>
      </c>
      <c r="D53" s="592"/>
      <c r="E53" s="592"/>
      <c r="F53" s="592"/>
      <c r="G53" s="592"/>
    </row>
    <row r="54" spans="1:19" ht="13.15" thickBot="1" x14ac:dyDescent="0.4">
      <c r="B54" s="28" t="str">
        <f>B9</f>
        <v>Oprindelig budget 2027-2030</v>
      </c>
      <c r="D54" s="239">
        <v>-6.2030000000000003</v>
      </c>
      <c r="E54" s="239">
        <v>-6.1790000000000003</v>
      </c>
      <c r="F54" s="239">
        <v>-6.08</v>
      </c>
      <c r="G54" s="239">
        <v>-6.08</v>
      </c>
    </row>
    <row r="55" spans="1:19" x14ac:dyDescent="0.35">
      <c r="C55" t="s">
        <v>29</v>
      </c>
      <c r="D55" s="592">
        <f>SUMIFS('Tekniske korrektioner'!F$13:F$288,'Tekniske korrektioner'!$K$13:$K$288,"x",'Tekniske korrektioner'!$C$13:$C$288,"27")+SUMIFS('Tekniske korrektioner'!E$13:E$288,'Tekniske korrektioner'!$K$13:$K$288,"x",'Tekniske korrektioner'!$C$13:$C$288,"27")</f>
        <v>1388</v>
      </c>
      <c r="E55" s="592">
        <f>SUMIFS('Tekniske korrektioner'!G$13:G$288,'Tekniske korrektioner'!$K$13:$K$288,"x",'Tekniske korrektioner'!$C$13:$C$288,"27")</f>
        <v>1389</v>
      </c>
      <c r="F55" s="592">
        <f>SUMIFS('Tekniske korrektioner'!H$13:H$288,'Tekniske korrektioner'!$K$13:$K$288,"x",'Tekniske korrektioner'!$C$13:$C$288,"27")</f>
        <v>1390</v>
      </c>
      <c r="G55" s="592">
        <f>SUMIFS('Tekniske korrektioner'!I$13:I$288,'Tekniske korrektioner'!$K$13:$K$288,"x",'Tekniske korrektioner'!$C$13:$C$288,"27")</f>
        <v>1391</v>
      </c>
    </row>
    <row r="56" spans="1:19" x14ac:dyDescent="0.35">
      <c r="C56" s="28" t="s">
        <v>107</v>
      </c>
      <c r="D56" s="592">
        <f>SUMIFS('Afledt drift'!E$13:E$78,'Afledt drift'!$J$13:$J$78,"x",'Afledt drift'!$C$13:$C$78,"27")</f>
        <v>0</v>
      </c>
      <c r="E56" s="592">
        <f>SUMIFS('Afledt drift'!F$13:F$78,'Afledt drift'!$J$13:$J$78,"x",'Afledt drift'!$C$13:$C$78,"27")</f>
        <v>0</v>
      </c>
      <c r="F56" s="592">
        <f>SUMIFS('Afledt drift'!G$13:G$78,'Afledt drift'!$J$13:$J$78,"x",'Afledt drift'!$C$13:$C$78,"27")</f>
        <v>0</v>
      </c>
      <c r="G56" s="592">
        <f>SUMIFS('Afledt drift'!H$13:H$78,'Afledt drift'!$J$13:$J$78,"x",'Afledt drift'!$C$13:$C$78,"27")</f>
        <v>0</v>
      </c>
      <c r="J56" s="594">
        <f>(D59-J59)</f>
        <v>-0.20299999999997453</v>
      </c>
      <c r="K56" s="594">
        <f>(E59-K59)</f>
        <v>0.82099999999991269</v>
      </c>
      <c r="L56" s="594">
        <f>(F59-L59)</f>
        <v>1.9200000000000728</v>
      </c>
      <c r="M56" s="594">
        <f>(G59-M59)</f>
        <v>2.9200000000000728</v>
      </c>
      <c r="O56" t="s">
        <v>110</v>
      </c>
    </row>
    <row r="57" spans="1:19" x14ac:dyDescent="0.35">
      <c r="C57" t="s">
        <v>108</v>
      </c>
      <c r="D57" s="592">
        <f>SUMIFS(Aktivitetsudvidelser!F$14:F$197,Aktivitetsudvidelser!$L$14:$L$197,"x",Aktivitetsudvidelser!$D$14:$D$197,"27")</f>
        <v>0</v>
      </c>
      <c r="E57" s="592">
        <f>SUMIFS(Aktivitetsudvidelser!G$14:G$197,Aktivitetsudvidelser!$L$14:$L$197,"x",Aktivitetsudvidelser!$D$14:$D$197,"27")</f>
        <v>0</v>
      </c>
      <c r="F57" s="592">
        <f>SUMIFS(Aktivitetsudvidelser!H$14:H$197,Aktivitetsudvidelser!$L$14:$L$197,"x",Aktivitetsudvidelser!$D$14:$D$197,"27")</f>
        <v>0</v>
      </c>
      <c r="G57" s="592">
        <f>SUMIFS(Aktivitetsudvidelser!I$14:I$197,Aktivitetsudvidelser!$L$14:$L$197,"x",Aktivitetsudvidelser!$D$14:$D$197,"27")</f>
        <v>0</v>
      </c>
    </row>
    <row r="58" spans="1:19" ht="13.15" thickBot="1" x14ac:dyDescent="0.4">
      <c r="C58" t="s">
        <v>39</v>
      </c>
      <c r="D58" s="592">
        <f>SUMIFS(Finansieringsforslag!H$12:H$165,Finansieringsforslag!$N$12:$N$165,"x",Finansieringsforslag!$E$12:$E$165,"27")</f>
        <v>0</v>
      </c>
      <c r="E58" s="592">
        <f>SUMIFS(Finansieringsforslag!$I$12:$I$165,Finansieringsforslag!$N$12:$N$165,"x",Finansieringsforslag!$E$12:$E$165,"27")</f>
        <v>0</v>
      </c>
      <c r="F58" s="592">
        <f>SUMIFS(Finansieringsforslag!$J$12:$J$165,Finansieringsforslag!$N$12:$N$165,"x",Finansieringsforslag!$E$12:$E$165,"27")</f>
        <v>0</v>
      </c>
      <c r="G58" s="592">
        <f>SUMIFS(Finansieringsforslag!$K$12:$K$165,Finansieringsforslag!$N$12:$N$165,"x",Finansieringsforslag!$E$12:$E$165,"27")</f>
        <v>0</v>
      </c>
    </row>
    <row r="59" spans="1:19" ht="13.15" thickBot="1" x14ac:dyDescent="0.4">
      <c r="B59" s="28" t="str">
        <f>B14</f>
        <v>Vedtaget budget 2027 - 2030</v>
      </c>
      <c r="D59" s="592">
        <f>SUM(D54:D58)</f>
        <v>1381.797</v>
      </c>
      <c r="E59" s="592">
        <f>SUM(E54:E58)</f>
        <v>1382.8209999999999</v>
      </c>
      <c r="F59" s="592">
        <f>SUM(F54:F58)</f>
        <v>1383.92</v>
      </c>
      <c r="G59" s="592">
        <f>SUM(G54:G58)</f>
        <v>1384.92</v>
      </c>
      <c r="J59" s="239">
        <v>1382</v>
      </c>
      <c r="K59" s="239">
        <v>1382</v>
      </c>
      <c r="L59" s="239">
        <v>1382</v>
      </c>
      <c r="M59" s="239">
        <v>1382</v>
      </c>
      <c r="N59" t="s">
        <v>118</v>
      </c>
      <c r="O59" s="147" t="str">
        <f>O14</f>
        <v>24.08.2026</v>
      </c>
    </row>
    <row r="60" spans="1:19" x14ac:dyDescent="0.35">
      <c r="D60" s="592"/>
      <c r="E60" s="592"/>
      <c r="F60" s="592"/>
      <c r="G60" s="592"/>
    </row>
    <row r="61" spans="1:19" x14ac:dyDescent="0.35">
      <c r="D61" s="592"/>
      <c r="E61" s="592"/>
      <c r="F61" s="592"/>
      <c r="G61" s="592"/>
    </row>
    <row r="62" spans="1:19" ht="13.15" thickBot="1" x14ac:dyDescent="0.4">
      <c r="A62" s="28" t="s">
        <v>162</v>
      </c>
      <c r="D62" s="592"/>
      <c r="E62" s="592"/>
      <c r="F62" s="592"/>
      <c r="G62" s="592"/>
    </row>
    <row r="63" spans="1:19" ht="13.15" thickBot="1" x14ac:dyDescent="0.4">
      <c r="B63" s="28" t="str">
        <f>B9</f>
        <v>Oprindelig budget 2027-2030</v>
      </c>
      <c r="D63" s="239">
        <v>1227.825</v>
      </c>
      <c r="E63" s="239">
        <v>1227.825</v>
      </c>
      <c r="F63" s="239">
        <v>1227.825</v>
      </c>
      <c r="G63" s="239">
        <v>1227.825</v>
      </c>
      <c r="S63" t="s">
        <v>155</v>
      </c>
    </row>
    <row r="64" spans="1:19" x14ac:dyDescent="0.35">
      <c r="C64" t="s">
        <v>29</v>
      </c>
      <c r="D64" s="592">
        <f>SUMIFS('Tekniske korrektioner'!F$13:F$288,'Tekniske korrektioner'!$K$13:$K$288,"x",'Tekniske korrektioner'!$C$13:$C$288,"28")+SUMIFS('Tekniske korrektioner'!E$13:E$288,'Tekniske korrektioner'!$K$13:$K$288,"x",'Tekniske korrektioner'!$C$13:$C$288,"28")</f>
        <v>-142</v>
      </c>
      <c r="E64" s="592">
        <f>SUMIFS('Tekniske korrektioner'!G$13:G$288,'Tekniske korrektioner'!$K$13:$K$288,"x",'Tekniske korrektioner'!$C$13:$C$288,"28")</f>
        <v>-142</v>
      </c>
      <c r="F64" s="592">
        <f>SUMIFS('Tekniske korrektioner'!H$13:H$288,'Tekniske korrektioner'!$K$13:$K$288,"x",'Tekniske korrektioner'!$C$13:$C$288,"28")</f>
        <v>-142</v>
      </c>
      <c r="G64" s="592">
        <f>SUMIFS('Tekniske korrektioner'!I$13:I$288,'Tekniske korrektioner'!$K$13:$K$288,"x",'Tekniske korrektioner'!$C$13:$C$288,"28")</f>
        <v>-142</v>
      </c>
      <c r="J64" s="594"/>
    </row>
    <row r="65" spans="1:19" x14ac:dyDescent="0.35">
      <c r="C65" s="28" t="s">
        <v>107</v>
      </c>
      <c r="D65" s="592">
        <f>SUMIFS('Afledt drift'!E$13:E$78,'Afledt drift'!$J$13:$J$78,"x",'Afledt drift'!$C$13:$C$78,"28")</f>
        <v>0</v>
      </c>
      <c r="E65" s="592">
        <f>SUMIFS('Afledt drift'!F$13:F$78,'Afledt drift'!$J$13:$J$78,"x",'Afledt drift'!$C$13:$C$78,"28")</f>
        <v>0</v>
      </c>
      <c r="F65" s="592">
        <f>SUMIFS('Afledt drift'!G$13:G$78,'Afledt drift'!$J$13:$J$78,"x",'Afledt drift'!$C$13:$C$78,"28")</f>
        <v>0</v>
      </c>
      <c r="G65" s="592">
        <f>SUMIFS('Afledt drift'!H$13:H$78,'Afledt drift'!$J$13:$J$78,"x",'Afledt drift'!$C$13:$C$78,"28")</f>
        <v>0</v>
      </c>
      <c r="J65" s="594">
        <f>D68-J68</f>
        <v>47.825000000000045</v>
      </c>
      <c r="K65" s="594">
        <f>E68-K68</f>
        <v>83.825000000000045</v>
      </c>
      <c r="L65" s="594">
        <f>F68-L68</f>
        <v>83.825000000000045</v>
      </c>
      <c r="M65" s="594">
        <f>G68-M68</f>
        <v>83.825000000000045</v>
      </c>
      <c r="O65" t="s">
        <v>110</v>
      </c>
    </row>
    <row r="66" spans="1:19" x14ac:dyDescent="0.35">
      <c r="C66" t="s">
        <v>108</v>
      </c>
      <c r="D66" s="592">
        <f>SUMIFS(Aktivitetsudvidelser!F$14:F$197,Aktivitetsudvidelser!$L$14:$L$197,"x",Aktivitetsudvidelser!$D$14:$D$197,"28")</f>
        <v>64</v>
      </c>
      <c r="E66" s="592">
        <f>SUMIFS(Aktivitetsudvidelser!G$14:G$197,Aktivitetsudvidelser!$L$14:$L$197,"x",Aktivitetsudvidelser!$D$14:$D$197,"28")</f>
        <v>100</v>
      </c>
      <c r="F66" s="592">
        <f>SUMIFS(Aktivitetsudvidelser!H$14:H$197,Aktivitetsudvidelser!$L$14:$L$197,"x",Aktivitetsudvidelser!$D$14:$D$197,"28")</f>
        <v>100</v>
      </c>
      <c r="G66" s="592">
        <f>SUMIFS(Aktivitetsudvidelser!I$14:I$197,Aktivitetsudvidelser!$L$14:$L$197,"x",Aktivitetsudvidelser!$D$14:$D$197,"28")</f>
        <v>100</v>
      </c>
      <c r="J66" s="594"/>
      <c r="K66" s="594"/>
      <c r="L66" s="594"/>
      <c r="M66" s="594"/>
    </row>
    <row r="67" spans="1:19" ht="13.15" thickBot="1" x14ac:dyDescent="0.4">
      <c r="C67" t="s">
        <v>39</v>
      </c>
      <c r="D67" s="592">
        <f>SUMIFS(Finansieringsforslag!H$12:H$169,Finansieringsforslag!$N$12:$N$169,"x",Finansieringsforslag!$E$12:$E$169,"28")</f>
        <v>-16</v>
      </c>
      <c r="E67" s="592">
        <f>SUMIFS(Finansieringsforslag!$I$12:$I$165,Finansieringsforslag!$N$12:$N$165,"x",Finansieringsforslag!$E$12:$E$165,"28")</f>
        <v>-16</v>
      </c>
      <c r="F67" s="592">
        <f>SUMIFS(Finansieringsforslag!$J$12:$J$165,Finansieringsforslag!$N$12:$N$165,"x",Finansieringsforslag!$E$12:$E$165,"28")</f>
        <v>-16</v>
      </c>
      <c r="G67" s="592">
        <f>SUMIFS(Finansieringsforslag!$K$12:$K$165,Finansieringsforslag!$N$12:$N$165,"x",Finansieringsforslag!$E$12:$E$165,"28")</f>
        <v>-16</v>
      </c>
    </row>
    <row r="68" spans="1:19" ht="13.15" thickBot="1" x14ac:dyDescent="0.4">
      <c r="B68" s="28" t="str">
        <f>B14</f>
        <v>Vedtaget budget 2027 - 2030</v>
      </c>
      <c r="D68" s="592">
        <f>SUM(D63:D67)</f>
        <v>1133.825</v>
      </c>
      <c r="E68" s="592">
        <f>SUM(E63:E67)</f>
        <v>1169.825</v>
      </c>
      <c r="F68" s="592">
        <f>SUM(F63:F67)</f>
        <v>1169.825</v>
      </c>
      <c r="G68" s="592">
        <f>SUM(G63:G67)</f>
        <v>1169.825</v>
      </c>
      <c r="J68" s="239">
        <v>1086</v>
      </c>
      <c r="K68" s="239">
        <v>1086</v>
      </c>
      <c r="L68" s="239">
        <v>1086</v>
      </c>
      <c r="M68" s="239">
        <v>1086</v>
      </c>
      <c r="N68" t="s">
        <v>118</v>
      </c>
      <c r="O68" s="147" t="str">
        <f>O14</f>
        <v>24.08.2026</v>
      </c>
    </row>
    <row r="69" spans="1:19" x14ac:dyDescent="0.35">
      <c r="B69" s="28"/>
      <c r="D69" s="592"/>
      <c r="E69" s="592"/>
      <c r="F69" s="592"/>
      <c r="G69" s="592"/>
      <c r="J69" s="211"/>
      <c r="K69" s="211"/>
      <c r="L69" s="211"/>
      <c r="M69" s="211"/>
      <c r="O69" s="147"/>
    </row>
    <row r="70" spans="1:19" ht="13.15" thickBot="1" x14ac:dyDescent="0.4">
      <c r="A70" s="28" t="s">
        <v>439</v>
      </c>
      <c r="D70" s="592"/>
      <c r="E70" s="592"/>
      <c r="F70" s="592"/>
      <c r="G70" s="592"/>
    </row>
    <row r="71" spans="1:19" ht="13.15" thickBot="1" x14ac:dyDescent="0.4">
      <c r="B71" s="28">
        <f>B17</f>
        <v>0</v>
      </c>
      <c r="D71" s="239">
        <v>0</v>
      </c>
      <c r="E71" s="239">
        <v>0</v>
      </c>
      <c r="F71" s="239">
        <v>0</v>
      </c>
      <c r="G71" s="239">
        <v>0</v>
      </c>
      <c r="S71" t="s">
        <v>155</v>
      </c>
    </row>
    <row r="72" spans="1:19" x14ac:dyDescent="0.35">
      <c r="C72" t="s">
        <v>29</v>
      </c>
      <c r="D72" s="592">
        <f>SUMIFS('Tekniske korrektioner'!F$13:F$288,'Tekniske korrektioner'!$K$13:$K$288,"x",'Tekniske korrektioner'!$C$13:$C$288,"29")+SUMIFS('Tekniske korrektioner'!E$13:E$288,'Tekniske korrektioner'!$K$13:$K$288,"x",'Tekniske korrektioner'!$C$13:$C$288,"98")</f>
        <v>0</v>
      </c>
      <c r="E72" s="592">
        <f>SUMIFS('Tekniske korrektioner'!G$13:G$288,'Tekniske korrektioner'!$K$13:$K$288,"x",'Tekniske korrektioner'!$C$13:$C$288,"29")+SUMIFS('Tekniske korrektioner'!F$13:F$288,'Tekniske korrektioner'!$K$13:$K$288,"x",'Tekniske korrektioner'!$C$13:$C$288,"98")</f>
        <v>0</v>
      </c>
      <c r="F72" s="592">
        <f>SUMIFS('Tekniske korrektioner'!H$13:H$288,'Tekniske korrektioner'!$K$13:$K$288,"x",'Tekniske korrektioner'!$C$13:$C$288,"29")+SUMIFS('Tekniske korrektioner'!G$13:G$288,'Tekniske korrektioner'!$K$13:$K$288,"x",'Tekniske korrektioner'!$C$13:$C$288,"98")</f>
        <v>0</v>
      </c>
      <c r="G72" s="592">
        <f>SUMIFS('Tekniske korrektioner'!I$13:I$288,'Tekniske korrektioner'!$K$13:$K$288,"x",'Tekniske korrektioner'!$C$13:$C$288,"29")+SUMIFS('Tekniske korrektioner'!H$13:H$288,'Tekniske korrektioner'!$K$13:$K$288,"x",'Tekniske korrektioner'!$C$13:$C$288,"98")</f>
        <v>0</v>
      </c>
      <c r="J72" s="594"/>
    </row>
    <row r="73" spans="1:19" x14ac:dyDescent="0.35">
      <c r="C73" s="28" t="s">
        <v>107</v>
      </c>
      <c r="D73" s="592">
        <f>SUMIFS('Afledt drift'!E$13:E$78,'Afledt drift'!$J$13:$J$78,"x",'Afledt drift'!$C$13:$C$78,"29")</f>
        <v>0</v>
      </c>
      <c r="E73" s="592">
        <f>SUMIFS('Afledt drift'!F$13:F$78,'Afledt drift'!$J$13:$J$78,"x",'Afledt drift'!$C$13:$C$78,"29")</f>
        <v>0</v>
      </c>
      <c r="F73" s="592">
        <f>SUMIFS('Afledt drift'!G$13:G$78,'Afledt drift'!$J$13:$J$78,"x",'Afledt drift'!$C$13:$C$78,"29")</f>
        <v>0</v>
      </c>
      <c r="G73" s="592">
        <f>SUMIFS('Afledt drift'!H$13:H$78,'Afledt drift'!$J$13:$J$78,"x",'Afledt drift'!$C$13:$C$78,"29")</f>
        <v>0</v>
      </c>
      <c r="J73" s="594">
        <f>D76-J76</f>
        <v>0</v>
      </c>
      <c r="K73" s="594">
        <f>E76-K76</f>
        <v>0</v>
      </c>
      <c r="L73" s="594">
        <f>F76-L76</f>
        <v>0</v>
      </c>
      <c r="M73" s="594">
        <f>G76-M76</f>
        <v>0</v>
      </c>
      <c r="O73" t="s">
        <v>110</v>
      </c>
    </row>
    <row r="74" spans="1:19" x14ac:dyDescent="0.35">
      <c r="C74" t="s">
        <v>108</v>
      </c>
      <c r="D74" s="592">
        <f>SUMIFS(Aktivitetsudvidelser!F$14:F$197,Aktivitetsudvidelser!$L$14:$L$197,"x",Aktivitetsudvidelser!$D$14:$D$197,"29")</f>
        <v>0</v>
      </c>
      <c r="E74" s="592">
        <f>SUMIFS(Aktivitetsudvidelser!G$14:G$197,Aktivitetsudvidelser!$L$14:$L$197,"x",Aktivitetsudvidelser!$D$14:$D$197,"29")</f>
        <v>0</v>
      </c>
      <c r="F74" s="592">
        <f>SUMIFS(Aktivitetsudvidelser!H$14:H$197,Aktivitetsudvidelser!$L$14:$L$197,"x",Aktivitetsudvidelser!$D$14:$D$197,"29")</f>
        <v>0</v>
      </c>
      <c r="G74" s="592">
        <f>SUMIFS(Aktivitetsudvidelser!I$14:I$197,Aktivitetsudvidelser!$L$14:$L$197,"x",Aktivitetsudvidelser!$D$14:$D$197,"29")</f>
        <v>0</v>
      </c>
      <c r="J74" s="594"/>
      <c r="K74" s="594"/>
      <c r="L74" s="594"/>
      <c r="M74" s="594"/>
    </row>
    <row r="75" spans="1:19" ht="13.15" thickBot="1" x14ac:dyDescent="0.4">
      <c r="C75" t="s">
        <v>39</v>
      </c>
      <c r="D75" s="592">
        <f>SUMIFS(Finansieringsforslag!H$12:H$165,Finansieringsforslag!$N$12:$N$165,"x",Finansieringsforslag!$E$12:$E$165,"29")</f>
        <v>0</v>
      </c>
      <c r="E75" s="592">
        <f>SUMIFS(Finansieringsforslag!$I$12:$I$165,Finansieringsforslag!$N$12:$N$165,"x",Finansieringsforslag!$E$12:$E$165,"29")</f>
        <v>0</v>
      </c>
      <c r="F75" s="592">
        <f>SUMIFS(Finansieringsforslag!$J$12:$J$165,Finansieringsforslag!$N$12:$N$165,"x",Finansieringsforslag!$E$12:$E$165,"29")</f>
        <v>0</v>
      </c>
      <c r="G75" s="592">
        <f>SUMIFS(Finansieringsforslag!$K$12:$K$165,Finansieringsforslag!$N$12:$N$165,"x",Finansieringsforslag!$E$12:$E$165,"29")</f>
        <v>0</v>
      </c>
    </row>
    <row r="76" spans="1:19" ht="13.15" thickBot="1" x14ac:dyDescent="0.4">
      <c r="B76" s="28">
        <f>B22</f>
        <v>0</v>
      </c>
      <c r="D76" s="592">
        <f>SUM(D71:D75)</f>
        <v>0</v>
      </c>
      <c r="E76" s="592">
        <f>SUM(E71:E75)</f>
        <v>0</v>
      </c>
      <c r="F76" s="592">
        <f>SUM(F71:F75)</f>
        <v>0</v>
      </c>
      <c r="G76" s="592">
        <f>SUM(G71:G75)</f>
        <v>0</v>
      </c>
      <c r="J76" s="239">
        <v>0</v>
      </c>
      <c r="K76" s="239">
        <v>0</v>
      </c>
      <c r="L76" s="239">
        <v>0</v>
      </c>
      <c r="M76" s="239">
        <v>0</v>
      </c>
      <c r="N76" t="s">
        <v>118</v>
      </c>
      <c r="O76" s="147">
        <f>O22</f>
        <v>0</v>
      </c>
    </row>
    <row r="77" spans="1:19" x14ac:dyDescent="0.35">
      <c r="B77" s="28"/>
      <c r="D77" s="592"/>
      <c r="E77" s="592"/>
      <c r="F77" s="592"/>
      <c r="G77" s="592"/>
      <c r="J77" s="211"/>
      <c r="K77" s="211"/>
      <c r="L77" s="211"/>
      <c r="M77" s="211"/>
      <c r="O77" s="147"/>
    </row>
    <row r="78" spans="1:19" ht="13.15" thickBot="1" x14ac:dyDescent="0.4">
      <c r="A78" s="28" t="s">
        <v>442</v>
      </c>
      <c r="D78" s="592"/>
      <c r="E78" s="592"/>
      <c r="F78" s="592"/>
      <c r="G78" s="592"/>
    </row>
    <row r="79" spans="1:19" ht="13.15" thickBot="1" x14ac:dyDescent="0.4">
      <c r="B79" s="28" t="str">
        <f>B9</f>
        <v>Oprindelig budget 2027-2030</v>
      </c>
      <c r="D79" s="239">
        <v>30653.416000000001</v>
      </c>
      <c r="E79" s="239">
        <v>29642.41</v>
      </c>
      <c r="F79" s="239">
        <v>29404.025000000001</v>
      </c>
      <c r="G79" s="239">
        <v>29404.025000000001</v>
      </c>
    </row>
    <row r="80" spans="1:19" x14ac:dyDescent="0.35">
      <c r="C80" t="s">
        <v>29</v>
      </c>
      <c r="D80" s="592">
        <f>SUMIFS('Tekniske korrektioner'!F$13:F$288,'Tekniske korrektioner'!$K$13:$K$288,"x",'Tekniske korrektioner'!$C$13:$C$288,"31")+SUMIFS('Tekniske korrektioner'!E$13:E$288,'Tekniske korrektioner'!$K$13:$K$288,"x",'Tekniske korrektioner'!$C$13:$C$288,"31")</f>
        <v>-1550</v>
      </c>
      <c r="E80" s="592">
        <f>SUMIFS('Tekniske korrektioner'!G$13:G$288,'Tekniske korrektioner'!$K$13:$K$288,"x",'Tekniske korrektioner'!$C$13:$C$288,"31")</f>
        <v>197</v>
      </c>
      <c r="F80" s="592">
        <f>SUMIFS('Tekniske korrektioner'!H$13:H$288,'Tekniske korrektioner'!$K$13:$K$288,"x",'Tekniske korrektioner'!$C$13:$C$288,"31")</f>
        <v>-2000</v>
      </c>
      <c r="G80" s="592">
        <f>SUMIFS('Tekniske korrektioner'!I$13:I$288,'Tekniske korrektioner'!$K$13:$K$288,"x",'Tekniske korrektioner'!$C$13:$C$288,"31")</f>
        <v>426</v>
      </c>
    </row>
    <row r="81" spans="1:16" x14ac:dyDescent="0.35">
      <c r="C81" s="28" t="s">
        <v>107</v>
      </c>
      <c r="D81" s="592">
        <f>SUMIFS('Afledt drift'!E$13:E$78,'Afledt drift'!$J$13:$J$78,"x",'Afledt drift'!$C$13:$C$78,"31")</f>
        <v>0</v>
      </c>
      <c r="E81" s="592">
        <f>SUMIFS('Afledt drift'!F$13:F$78,'Afledt drift'!$J$13:$J$78,"x",'Afledt drift'!$C$13:$C$78,"31")</f>
        <v>0</v>
      </c>
      <c r="F81" s="592">
        <f>SUMIFS('Afledt drift'!G$13:G$78,'Afledt drift'!$J$13:$J$78,"x",'Afledt drift'!$C$13:$C$78,"31")</f>
        <v>0</v>
      </c>
      <c r="G81" s="592">
        <f>SUMIFS('Afledt drift'!H$13:H$78,'Afledt drift'!$J$13:$J$78,"x",'Afledt drift'!$C$13:$C$78,"31")</f>
        <v>0</v>
      </c>
      <c r="J81" s="594">
        <f>D84-J84</f>
        <v>-48.583999999998923</v>
      </c>
      <c r="K81" s="594">
        <f>E84-K84</f>
        <v>-51.590000000000146</v>
      </c>
      <c r="L81" s="594">
        <f>F84-L84</f>
        <v>-51.974999999998545</v>
      </c>
      <c r="M81" s="594">
        <f>G84-M84</f>
        <v>-50.974999999998545</v>
      </c>
      <c r="O81" t="s">
        <v>110</v>
      </c>
    </row>
    <row r="82" spans="1:16" x14ac:dyDescent="0.35">
      <c r="C82" t="s">
        <v>108</v>
      </c>
      <c r="D82" s="592">
        <f>SUMIFS(Aktivitetsudvidelser!F$14:F$197,Aktivitetsudvidelser!$L$14:$L$197,"x",Aktivitetsudvidelser!$D$14:$D$197,"31")</f>
        <v>0</v>
      </c>
      <c r="E82" s="592">
        <f>SUMIFS(Aktivitetsudvidelser!G$14:G$197,Aktivitetsudvidelser!$L$14:$L$197,"x",Aktivitetsudvidelser!$D$14:$D$197,"31")</f>
        <v>0</v>
      </c>
      <c r="F82" s="592">
        <f>SUMIFS(Aktivitetsudvidelser!H$14:H$197,Aktivitetsudvidelser!$L$14:$L$197,"x",Aktivitetsudvidelser!$D$14:$D$197,"31")</f>
        <v>0</v>
      </c>
      <c r="G82" s="592">
        <f>SUMIFS(Aktivitetsudvidelser!I$14:I$197,Aktivitetsudvidelser!$L$14:$L$197,"x",Aktivitetsudvidelser!$D$14:$D$197,"31")</f>
        <v>0</v>
      </c>
    </row>
    <row r="83" spans="1:16" ht="13.15" thickBot="1" x14ac:dyDescent="0.4">
      <c r="C83" t="s">
        <v>39</v>
      </c>
      <c r="D83" s="592">
        <f>SUMIFS(Finansieringsforslag!H$12:H$165,Finansieringsforslag!$N$12:$N$165,"x",Finansieringsforslag!$E$12:$E$165,"31")</f>
        <v>-50</v>
      </c>
      <c r="E83" s="592">
        <f>SUMIFS(Finansieringsforslag!$I$12:$I$165,Finansieringsforslag!$N$12:$N$165,"x",Finansieringsforslag!$E$12:$E$165,"31")</f>
        <v>-50</v>
      </c>
      <c r="F83" s="592">
        <f>SUMIFS(Finansieringsforslag!$J$12:$J$165,Finansieringsforslag!$N$12:$N$165,"x",Finansieringsforslag!$E$12:$E$165,"31")</f>
        <v>-50</v>
      </c>
      <c r="G83" s="592">
        <f>SUMIFS(Finansieringsforslag!$K$12:$K$165,Finansieringsforslag!$N$12:$N$165,"x",Finansieringsforslag!$E$12:$E$165,"31")</f>
        <v>-50</v>
      </c>
    </row>
    <row r="84" spans="1:16" ht="13.15" thickBot="1" x14ac:dyDescent="0.4">
      <c r="B84" s="28" t="str">
        <f>B14</f>
        <v>Vedtaget budget 2027 - 2030</v>
      </c>
      <c r="D84" s="592">
        <f>SUM(D79:D83)</f>
        <v>29053.416000000001</v>
      </c>
      <c r="E84" s="592">
        <f>SUM(E79:E83)</f>
        <v>29789.41</v>
      </c>
      <c r="F84" s="592">
        <f>SUM(F79:F83)</f>
        <v>27354.025000000001</v>
      </c>
      <c r="G84" s="592">
        <f>SUM(G79:G83)</f>
        <v>29780.025000000001</v>
      </c>
      <c r="J84" s="239">
        <v>29102</v>
      </c>
      <c r="K84" s="239">
        <v>29841</v>
      </c>
      <c r="L84" s="239">
        <v>27406</v>
      </c>
      <c r="M84" s="239">
        <v>29831</v>
      </c>
      <c r="N84" t="s">
        <v>119</v>
      </c>
      <c r="O84" s="147" t="str">
        <f>O14</f>
        <v>24.08.2026</v>
      </c>
    </row>
    <row r="86" spans="1:16" x14ac:dyDescent="0.35">
      <c r="D86" s="592"/>
      <c r="E86" s="592"/>
      <c r="F86" s="592"/>
      <c r="G86" s="592"/>
      <c r="P86" t="s">
        <v>155</v>
      </c>
    </row>
    <row r="87" spans="1:16" ht="13.15" thickBot="1" x14ac:dyDescent="0.4">
      <c r="A87" s="28" t="s">
        <v>443</v>
      </c>
      <c r="D87" s="592"/>
      <c r="E87" s="592"/>
      <c r="F87" s="592"/>
      <c r="G87" s="592"/>
      <c r="K87" s="181" t="s">
        <v>155</v>
      </c>
    </row>
    <row r="88" spans="1:16" ht="13.15" thickBot="1" x14ac:dyDescent="0.4">
      <c r="B88" s="28" t="str">
        <f>B9</f>
        <v>Oprindelig budget 2027-2030</v>
      </c>
      <c r="D88" s="239">
        <v>399968.17099999997</v>
      </c>
      <c r="E88" s="239">
        <v>394114.038</v>
      </c>
      <c r="F88" s="239">
        <v>388246.79</v>
      </c>
      <c r="G88" s="239">
        <v>388246.79</v>
      </c>
    </row>
    <row r="89" spans="1:16" x14ac:dyDescent="0.35">
      <c r="C89" t="s">
        <v>29</v>
      </c>
      <c r="D89" s="592">
        <f>SUMIFS('Tekniske korrektioner'!F$13:F$401,'Tekniske korrektioner'!$K$13:$K$401,"x",'Tekniske korrektioner'!$C$13:$C$401,"32")+SUMIFS('Tekniske korrektioner'!E$13:E$401,'Tekniske korrektioner'!$K$13:$K$401,"x",'Tekniske korrektioner'!$C$13:$C$401,"32")</f>
        <v>-1679</v>
      </c>
      <c r="E89" s="592">
        <f>SUMIFS('Tekniske korrektioner'!G$13:G$288,'Tekniske korrektioner'!$K$13:$K$288,"x",'Tekniske korrektioner'!$C$13:$C$288,"32")</f>
        <v>-118</v>
      </c>
      <c r="F89" s="592">
        <f>SUMIFS('Tekniske korrektioner'!H$13:H$288,'Tekniske korrektioner'!$K$13:$K$288,"x",'Tekniske korrektioner'!$C$13:$C$288,"32")</f>
        <v>433</v>
      </c>
      <c r="G89" s="592">
        <f>SUMIFS('Tekniske korrektioner'!I$13:I$288,'Tekniske korrektioner'!$K$13:$K$288,"x",'Tekniske korrektioner'!$C$13:$C$288,"32")</f>
        <v>419</v>
      </c>
    </row>
    <row r="90" spans="1:16" x14ac:dyDescent="0.35">
      <c r="C90" s="28" t="s">
        <v>107</v>
      </c>
      <c r="D90" s="592">
        <f>SUMIFS('Afledt drift'!E$13:E$78,'Afledt drift'!$J$13:$J$78,"x",'Afledt drift'!$C$13:$C$78,"32")</f>
        <v>0</v>
      </c>
      <c r="E90" s="592">
        <f>SUMIFS('Afledt drift'!F$13:F$78,'Afledt drift'!$J$13:$J$78,"x",'Afledt drift'!$C$13:$C$78,"32")</f>
        <v>0</v>
      </c>
      <c r="F90" s="592">
        <f>SUMIFS('Afledt drift'!G$13:G$78,'Afledt drift'!$J$13:$J$78,"x",'Afledt drift'!$C$13:$C$78,"32")</f>
        <v>0</v>
      </c>
      <c r="G90" s="592">
        <f>SUMIFS('Afledt drift'!H$13:H$78,'Afledt drift'!$J$13:$J$78,"x",'Afledt drift'!$C$13:$C$78,"32")</f>
        <v>0</v>
      </c>
      <c r="J90" s="594">
        <f>D93-J93</f>
        <v>-5658.829000000027</v>
      </c>
      <c r="K90" s="594">
        <f>E93-K93</f>
        <v>-5658.9619999999995</v>
      </c>
      <c r="L90" s="594">
        <f>F93-L93</f>
        <v>-12310.210000000021</v>
      </c>
      <c r="M90" s="594">
        <f>G93-M93</f>
        <v>-18961.210000000021</v>
      </c>
      <c r="O90" t="s">
        <v>110</v>
      </c>
    </row>
    <row r="91" spans="1:16" x14ac:dyDescent="0.35">
      <c r="C91" t="s">
        <v>108</v>
      </c>
      <c r="D91" s="592">
        <f>SUMIFS(Aktivitetsudvidelser!F$14:F$197,Aktivitetsudvidelser!$L$14:$L$197,"x",Aktivitetsudvidelser!$D$14:$D$197,"32")</f>
        <v>11641</v>
      </c>
      <c r="E91" s="592">
        <f>SUMIFS(Aktivitetsudvidelser!G$14:G$197,Aktivitetsudvidelser!$L$14:$L$197,"x",Aktivitetsudvidelser!$D$14:$D$197,"32")</f>
        <v>21791</v>
      </c>
      <c r="F91" s="592">
        <f>SUMIFS(Aktivitetsudvidelser!H$14:H$197,Aktivitetsudvidelser!$L$14:$L$197,"x",Aktivitetsudvidelser!$D$14:$D$197,"32")</f>
        <v>20853</v>
      </c>
      <c r="G91" s="592">
        <f>SUMIFS(Aktivitetsudvidelser!I$14:I$197,Aktivitetsudvidelser!$L$14:$L$197,"x",Aktivitetsudvidelser!$D$14:$D$197,"32")</f>
        <v>14202</v>
      </c>
    </row>
    <row r="92" spans="1:16" ht="13.15" thickBot="1" x14ac:dyDescent="0.4">
      <c r="C92" t="s">
        <v>39</v>
      </c>
      <c r="D92" s="592">
        <f>SUMIFS(Finansieringsforslag!H$12:H$165,Finansieringsforslag!$N$12:$N$165,"x",Finansieringsforslag!$E$12:$E$165,"32")</f>
        <v>-6559</v>
      </c>
      <c r="E92" s="592">
        <f>SUMIFS(Finansieringsforslag!$I$12:$I$165,Finansieringsforslag!$N$12:$N$165,"x",Finansieringsforslag!$E$12:$E$165,"32")</f>
        <v>-6559</v>
      </c>
      <c r="F92" s="592">
        <f>SUMIFS(Finansieringsforslag!$J$12:$J$165,Finansieringsforslag!$N$12:$N$165,"x",Finansieringsforslag!$E$12:$E$165,"32")</f>
        <v>-6559</v>
      </c>
      <c r="G92" s="592">
        <f>SUMIFS(Finansieringsforslag!$K$12:$K$165,Finansieringsforslag!$N$12:$N$165,"x",Finansieringsforslag!$E$12:$E$165,"32")</f>
        <v>-6559</v>
      </c>
      <c r="O92" s="147"/>
    </row>
    <row r="93" spans="1:16" ht="13.15" thickBot="1" x14ac:dyDescent="0.4">
      <c r="B93" s="28" t="str">
        <f>B14</f>
        <v>Vedtaget budget 2027 - 2030</v>
      </c>
      <c r="D93" s="592">
        <f>SUM(D88:D92)</f>
        <v>403371.17099999997</v>
      </c>
      <c r="E93" s="592">
        <f>SUM(E88:E92)</f>
        <v>409228.038</v>
      </c>
      <c r="F93" s="592">
        <f>SUM(F88:F92)</f>
        <v>402973.79</v>
      </c>
      <c r="G93" s="592">
        <f>SUM(G88:G92)</f>
        <v>396308.79</v>
      </c>
      <c r="I93" s="147"/>
      <c r="J93" s="239">
        <v>409030</v>
      </c>
      <c r="K93" s="239">
        <v>414887</v>
      </c>
      <c r="L93" s="239">
        <v>415284</v>
      </c>
      <c r="M93" s="239">
        <v>415270</v>
      </c>
      <c r="N93" t="s">
        <v>119</v>
      </c>
      <c r="O93" s="147" t="str">
        <f>O14</f>
        <v>24.08.2026</v>
      </c>
    </row>
    <row r="94" spans="1:16" x14ac:dyDescent="0.35">
      <c r="D94" s="592"/>
      <c r="E94" s="592"/>
      <c r="F94" s="592"/>
      <c r="G94" s="592"/>
    </row>
    <row r="95" spans="1:16" x14ac:dyDescent="0.35">
      <c r="D95" s="592"/>
      <c r="E95" s="592"/>
      <c r="F95" s="592"/>
      <c r="G95" s="592"/>
    </row>
    <row r="96" spans="1:16" ht="13.15" thickBot="1" x14ac:dyDescent="0.4">
      <c r="A96" s="28" t="s">
        <v>444</v>
      </c>
      <c r="D96" s="592"/>
      <c r="E96" s="592"/>
      <c r="F96" s="592"/>
      <c r="G96" s="592"/>
    </row>
    <row r="97" spans="1:19" ht="13.15" thickBot="1" x14ac:dyDescent="0.4">
      <c r="B97" s="28" t="str">
        <f>B9</f>
        <v>Oprindelig budget 2027-2030</v>
      </c>
      <c r="D97" s="239">
        <v>721951.64899999998</v>
      </c>
      <c r="E97" s="239">
        <v>737320.97499999998</v>
      </c>
      <c r="F97" s="239">
        <v>733481.31799999997</v>
      </c>
      <c r="G97" s="239">
        <v>733481.31799999997</v>
      </c>
    </row>
    <row r="98" spans="1:19" x14ac:dyDescent="0.35">
      <c r="C98" t="s">
        <v>29</v>
      </c>
      <c r="D98" s="592">
        <f>SUMIFS('Tekniske korrektioner'!F$13:F$401,'Tekniske korrektioner'!$K$13:$K$401,"x",'Tekniske korrektioner'!$C$13:$C$401,"33")+SUMIFS('Tekniske korrektioner'!E$13:E$401,'Tekniske korrektioner'!$K$13:$K$401,"x",'Tekniske korrektioner'!$C$13:$C$401,"33")</f>
        <v>1573</v>
      </c>
      <c r="E98" s="592">
        <f>SUMIFS('Tekniske korrektioner'!G$13:G$288,'Tekniske korrektioner'!$K$13:$K$288,"x",'Tekniske korrektioner'!$C$13:$C$288,"33")</f>
        <v>4157</v>
      </c>
      <c r="F98" s="592">
        <f>SUMIFS('Tekniske korrektioner'!H$13:H$288,'Tekniske korrektioner'!$K$13:$K$288,"x",'Tekniske korrektioner'!$C$13:$C$288,"33")</f>
        <v>12277</v>
      </c>
      <c r="G98" s="592">
        <f>SUMIFS('Tekniske korrektioner'!I$13:I$288,'Tekniske korrektioner'!$K$13:$K$288,"x",'Tekniske korrektioner'!$C$13:$C$288,"33")</f>
        <v>27929</v>
      </c>
    </row>
    <row r="99" spans="1:19" x14ac:dyDescent="0.35">
      <c r="C99" s="28" t="s">
        <v>107</v>
      </c>
      <c r="D99" s="592">
        <f>SUMIFS('Afledt drift'!E$13:E$78,'Afledt drift'!$J$13:$J$78,"x",'Afledt drift'!$C$13:$C$78,"33")</f>
        <v>0</v>
      </c>
      <c r="E99" s="592">
        <f>SUMIFS('Afledt drift'!F$13:F$78,'Afledt drift'!$J$13:$J$78,"x",'Afledt drift'!$C$13:$C$78,"33")</f>
        <v>0</v>
      </c>
      <c r="F99" s="592">
        <f>SUMIFS('Afledt drift'!G$13:G$78,'Afledt drift'!$J$13:$J$78,"x",'Afledt drift'!$C$13:$C$78,"33")</f>
        <v>0</v>
      </c>
      <c r="G99" s="592">
        <f>SUMIFS('Afledt drift'!H$13:H$78,'Afledt drift'!$J$13:$J$78,"x",'Afledt drift'!$C$13:$C$78,"33")</f>
        <v>0</v>
      </c>
      <c r="J99" s="594">
        <f>D102-J102</f>
        <v>0.64899999997578561</v>
      </c>
      <c r="K99" s="594">
        <f>E102-K102</f>
        <v>-2.5000000023283064E-2</v>
      </c>
      <c r="L99" s="594">
        <f>F102-L102</f>
        <v>0.31799999997019768</v>
      </c>
      <c r="M99" s="594">
        <f>G102-M102</f>
        <v>0.31799999997019768</v>
      </c>
      <c r="O99" t="s">
        <v>110</v>
      </c>
    </row>
    <row r="100" spans="1:19" x14ac:dyDescent="0.35">
      <c r="C100" t="s">
        <v>108</v>
      </c>
      <c r="D100" s="592">
        <f>SUMIFS(Aktivitetsudvidelser!F$14:F$197,Aktivitetsudvidelser!$L$14:$L$197,"x",Aktivitetsudvidelser!$D$14:$D$197,"33")</f>
        <v>0</v>
      </c>
      <c r="E100" s="592">
        <f>SUMIFS(Aktivitetsudvidelser!G$14:G$189,Aktivitetsudvidelser!$L$14:$L$189,"x",Aktivitetsudvidelser!$D$14:$D$189,"33")</f>
        <v>0</v>
      </c>
      <c r="F100" s="592">
        <f>SUMIFS(Aktivitetsudvidelser!H$14:H$189,Aktivitetsudvidelser!$L$14:$L$189,"x",Aktivitetsudvidelser!$D$14:$D$189,"33")</f>
        <v>0</v>
      </c>
      <c r="G100" s="592">
        <f>SUMIFS(Aktivitetsudvidelser!I$14:I$189,Aktivitetsudvidelser!$L$14:$L$189,"x",Aktivitetsudvidelser!$D$14:$D$189,"33")</f>
        <v>0</v>
      </c>
    </row>
    <row r="101" spans="1:19" ht="13.15" thickBot="1" x14ac:dyDescent="0.4">
      <c r="C101" t="s">
        <v>39</v>
      </c>
      <c r="D101" s="592">
        <f>SUMIFS(Finansieringsforslag!H$12:H$165,Finansieringsforslag!$N$12:$N$165,"x",Finansieringsforslag!$E$12:$E$165,"33")</f>
        <v>0</v>
      </c>
      <c r="E101" s="592">
        <f>SUMIFS(Finansieringsforslag!$I$12:$I$165,Finansieringsforslag!$N$12:$N$165,"x",Finansieringsforslag!$E$12:$E$165,"33")</f>
        <v>0</v>
      </c>
      <c r="F101" s="592">
        <f>SUMIFS(Finansieringsforslag!$J$12:$J$165,Finansieringsforslag!$N$12:$N$165,"x",Finansieringsforslag!$E$12:$E$165,"33")</f>
        <v>0</v>
      </c>
      <c r="G101" s="592">
        <f>SUMIFS(Finansieringsforslag!$K$12:$K$165,Finansieringsforslag!$N$12:$N$165,"x",Finansieringsforslag!$E$12:$E$165,"33")</f>
        <v>0</v>
      </c>
    </row>
    <row r="102" spans="1:19" ht="13.15" thickBot="1" x14ac:dyDescent="0.4">
      <c r="B102" s="28" t="str">
        <f>B14</f>
        <v>Vedtaget budget 2027 - 2030</v>
      </c>
      <c r="D102" s="592">
        <f>SUM(D97:D101)</f>
        <v>723524.64899999998</v>
      </c>
      <c r="E102" s="592">
        <f>SUM(E97:E101)</f>
        <v>741477.97499999998</v>
      </c>
      <c r="F102" s="592">
        <f>SUM(F97:F101)</f>
        <v>745758.31799999997</v>
      </c>
      <c r="G102" s="592">
        <f>SUM(G97:G101)</f>
        <v>761410.31799999997</v>
      </c>
      <c r="J102" s="239">
        <v>723524</v>
      </c>
      <c r="K102" s="239">
        <v>741478</v>
      </c>
      <c r="L102" s="239">
        <v>745758</v>
      </c>
      <c r="M102" s="239">
        <v>761410</v>
      </c>
      <c r="N102" s="28" t="s">
        <v>119</v>
      </c>
      <c r="O102" s="147" t="str">
        <f>O14</f>
        <v>24.08.2026</v>
      </c>
    </row>
    <row r="103" spans="1:19" x14ac:dyDescent="0.35">
      <c r="D103" s="592"/>
      <c r="E103" s="592"/>
      <c r="F103" s="592"/>
      <c r="G103" s="592"/>
    </row>
    <row r="104" spans="1:19" x14ac:dyDescent="0.35">
      <c r="D104" s="592"/>
      <c r="E104" s="592"/>
      <c r="F104" s="592"/>
      <c r="G104" s="592"/>
    </row>
    <row r="105" spans="1:19" ht="13.15" thickBot="1" x14ac:dyDescent="0.4">
      <c r="A105" s="28" t="s">
        <v>142</v>
      </c>
      <c r="D105" s="592"/>
      <c r="E105" s="592"/>
      <c r="F105" s="592"/>
      <c r="G105" s="592"/>
      <c r="J105" s="594"/>
      <c r="K105" s="594"/>
      <c r="L105" s="594"/>
      <c r="R105" s="105"/>
      <c r="S105" s="105"/>
    </row>
    <row r="106" spans="1:19" ht="13.15" thickBot="1" x14ac:dyDescent="0.4">
      <c r="B106" s="28" t="str">
        <f>B9</f>
        <v>Oprindelig budget 2027-2030</v>
      </c>
      <c r="D106" s="239">
        <v>534245.826</v>
      </c>
      <c r="E106" s="239">
        <v>551200.68700000003</v>
      </c>
      <c r="F106" s="239">
        <v>560216.22499999998</v>
      </c>
      <c r="G106" s="239">
        <v>560216.22499999998</v>
      </c>
    </row>
    <row r="107" spans="1:19" x14ac:dyDescent="0.35">
      <c r="C107" t="s">
        <v>29</v>
      </c>
      <c r="D107" s="592">
        <f>SUMIFS('Tekniske korrektioner'!F$13:F$288,'Tekniske korrektioner'!$K$13:$K$288,"x",'Tekniske korrektioner'!$C$13:$C$288,"34")+SUMIFS('Tekniske korrektioner'!E$13:E$288,'Tekniske korrektioner'!$K$13:$K$288,"x",'Tekniske korrektioner'!$C$13:$C$288,"34")</f>
        <v>11462</v>
      </c>
      <c r="E107" s="592">
        <f>SUMIFS('Tekniske korrektioner'!G$13:G$288,'Tekniske korrektioner'!$K$13:$K$288,"x",'Tekniske korrektioner'!$C$13:$C$288,"34")</f>
        <v>10292</v>
      </c>
      <c r="F107" s="592">
        <f>SUMIFS('Tekniske korrektioner'!H$13:H$288,'Tekniske korrektioner'!$K$13:$K$288,"x",'Tekniske korrektioner'!$C$13:$C$288,"34")</f>
        <v>15003</v>
      </c>
      <c r="G107" s="592">
        <f>SUMIFS('Tekniske korrektioner'!I$13:I$288,'Tekniske korrektioner'!$K$13:$K$288,"x",'Tekniske korrektioner'!$C$13:$C$288,"34")</f>
        <v>20933</v>
      </c>
    </row>
    <row r="108" spans="1:19" x14ac:dyDescent="0.35">
      <c r="C108" s="28" t="s">
        <v>107</v>
      </c>
      <c r="D108" s="592">
        <f>SUMIFS('Afledt drift'!E$13:E$78,'Afledt drift'!$J$13:$J$78,"x",'Afledt drift'!$C$13:$C$78,"34")</f>
        <v>0</v>
      </c>
      <c r="E108" s="592">
        <f>SUMIFS('Afledt drift'!F$13:F$78,'Afledt drift'!$J$13:$J$78,"x",'Afledt drift'!$C$13:$C$78,"34")</f>
        <v>0</v>
      </c>
      <c r="F108" s="592">
        <f>SUMIFS('Afledt drift'!G$13:G$78,'Afledt drift'!$J$13:$J$78,"x",'Afledt drift'!$C$13:$C$78,"34")</f>
        <v>0</v>
      </c>
      <c r="G108" s="592">
        <f>SUMIFS('Afledt drift'!H$13:H$78,'Afledt drift'!$J$13:$J$78,"x",'Afledt drift'!$C$13:$C$78,"34")</f>
        <v>0</v>
      </c>
      <c r="J108" s="594">
        <f>D111-J111</f>
        <v>-436.17399999999907</v>
      </c>
      <c r="K108" s="594">
        <f>E111-K111</f>
        <v>-424.31299999996554</v>
      </c>
      <c r="L108" s="594">
        <f>F111-L111</f>
        <v>-423.77500000002328</v>
      </c>
      <c r="M108" s="594">
        <f>G111-M111</f>
        <v>-267.77500000002328</v>
      </c>
      <c r="O108" t="s">
        <v>110</v>
      </c>
    </row>
    <row r="109" spans="1:19" x14ac:dyDescent="0.35">
      <c r="C109" t="s">
        <v>108</v>
      </c>
      <c r="D109" s="592">
        <f>SUMIFS(Aktivitetsudvidelser!F$14:F$197,Aktivitetsudvidelser!$L$14:$L$197,"x",Aktivitetsudvidelser!$D$14:$D$197,"34")</f>
        <v>1790</v>
      </c>
      <c r="E109" s="592">
        <f>SUMIFS(Aktivitetsudvidelser!G$14:G$197,Aktivitetsudvidelser!$L$14:$L$197,"x",Aktivitetsudvidelser!$D$14:$D$197,"34")</f>
        <v>1790</v>
      </c>
      <c r="F109" s="592">
        <f>SUMIFS(Aktivitetsudvidelser!H$14:H$197,Aktivitetsudvidelser!$L$14:$L$197,"x",Aktivitetsudvidelser!$D$14:$D$197,"34")</f>
        <v>1790</v>
      </c>
      <c r="G109" s="592">
        <f>SUMIFS(Aktivitetsudvidelser!I$14:I$197,Aktivitetsudvidelser!$L$14:$L$197,"x",Aktivitetsudvidelser!$D$14:$D$197,"34")</f>
        <v>1946</v>
      </c>
      <c r="J109" s="594"/>
      <c r="K109" s="594"/>
      <c r="L109" s="594"/>
      <c r="M109" s="594"/>
    </row>
    <row r="110" spans="1:19" ht="13.15" thickBot="1" x14ac:dyDescent="0.4">
      <c r="C110" t="s">
        <v>39</v>
      </c>
      <c r="D110" s="592">
        <f>SUMIFS(Finansieringsforslag!H$12:H$165,Finansieringsforslag!$N$12:$N$165,"x",Finansieringsforslag!$E$12:$E$165,"34")</f>
        <v>-2223</v>
      </c>
      <c r="E110" s="592">
        <f>SUMIFS(Finansieringsforslag!$I$12:$I$165,Finansieringsforslag!$N$12:$N$165,"x",Finansieringsforslag!$E$12:$E$165,"34")</f>
        <v>-2210</v>
      </c>
      <c r="F110" s="592">
        <f>SUMIFS(Finansieringsforslag!$J$12:$J$165,Finansieringsforslag!$N$12:$N$165,"x",Finansieringsforslag!$E$12:$E$165,"34")</f>
        <v>-2210</v>
      </c>
      <c r="G110" s="592">
        <f>SUMIFS(Finansieringsforslag!$K$12:$K$165,Finansieringsforslag!$N$12:$N$165,"x",Finansieringsforslag!$E$12:$E$165,"34")</f>
        <v>-2210</v>
      </c>
    </row>
    <row r="111" spans="1:19" ht="13.15" thickBot="1" x14ac:dyDescent="0.4">
      <c r="B111" s="28" t="str">
        <f>B14</f>
        <v>Vedtaget budget 2027 - 2030</v>
      </c>
      <c r="D111" s="592">
        <f>SUM(D106:D110)</f>
        <v>545274.826</v>
      </c>
      <c r="E111" s="592">
        <f>SUM(E106:E110)</f>
        <v>561072.68700000003</v>
      </c>
      <c r="F111" s="592">
        <f>SUM(F106:F110)</f>
        <v>574799.22499999998</v>
      </c>
      <c r="G111" s="592">
        <f>SUM(G106:G110)</f>
        <v>580885.22499999998</v>
      </c>
      <c r="J111" s="239">
        <v>545711</v>
      </c>
      <c r="K111" s="239">
        <v>561497</v>
      </c>
      <c r="L111" s="239">
        <v>575223</v>
      </c>
      <c r="M111" s="239">
        <v>581153</v>
      </c>
      <c r="N111" s="28"/>
      <c r="O111" s="147" t="str">
        <f>O32</f>
        <v>24.08.2026</v>
      </c>
      <c r="P111" s="211"/>
    </row>
    <row r="112" spans="1:19" x14ac:dyDescent="0.35">
      <c r="D112" s="592"/>
      <c r="E112" s="592"/>
      <c r="F112" s="592"/>
      <c r="G112" s="592"/>
      <c r="J112" s="594"/>
      <c r="K112" s="594"/>
      <c r="L112" s="594"/>
      <c r="M112" s="594"/>
    </row>
    <row r="113" spans="1:19" x14ac:dyDescent="0.35">
      <c r="D113" s="592"/>
      <c r="E113" s="592"/>
      <c r="F113" s="592"/>
      <c r="G113" s="592"/>
      <c r="J113" s="594"/>
      <c r="K113" s="594"/>
      <c r="L113" s="594"/>
      <c r="M113" s="594"/>
    </row>
    <row r="114" spans="1:19" ht="13.15" thickBot="1" x14ac:dyDescent="0.4">
      <c r="A114" s="28" t="s">
        <v>143</v>
      </c>
      <c r="D114" s="592"/>
      <c r="E114" s="592"/>
      <c r="F114" s="592"/>
      <c r="G114" s="592"/>
      <c r="J114" s="594"/>
      <c r="K114" s="594"/>
      <c r="L114" s="594"/>
      <c r="M114" s="594"/>
    </row>
    <row r="115" spans="1:19" ht="13.15" thickBot="1" x14ac:dyDescent="0.4">
      <c r="B115" s="28" t="str">
        <f>B9</f>
        <v>Oprindelig budget 2027-2030</v>
      </c>
      <c r="D115" s="239">
        <v>331430.77799999999</v>
      </c>
      <c r="E115" s="239">
        <v>331269.84299999999</v>
      </c>
      <c r="F115" s="239">
        <v>331269.75199999998</v>
      </c>
      <c r="G115" s="239">
        <v>331269.75199999998</v>
      </c>
      <c r="J115" s="594"/>
      <c r="K115" s="594"/>
      <c r="L115" s="594"/>
      <c r="M115" s="594"/>
    </row>
    <row r="116" spans="1:19" x14ac:dyDescent="0.35">
      <c r="C116" t="s">
        <v>29</v>
      </c>
      <c r="D116" s="592">
        <f>SUMIFS('Tekniske korrektioner'!F$13:F$288,'Tekniske korrektioner'!$K$13:$K$288,"x",'Tekniske korrektioner'!$C$13:$C$288,"35")+SUMIFS('Tekniske korrektioner'!E$13:E$288,'Tekniske korrektioner'!$K$13:$K$288,"x",'Tekniske korrektioner'!$C$13:$C$288,"35")</f>
        <v>-288601</v>
      </c>
      <c r="E116" s="592">
        <f>SUMIFS('Tekniske korrektioner'!G$13:G$288,'Tekniske korrektioner'!$K$13:$K$288,"x",'Tekniske korrektioner'!$C$13:$C$288,"35")</f>
        <v>-288341</v>
      </c>
      <c r="F116" s="592">
        <f>SUMIFS('Tekniske korrektioner'!H$13:H$288,'Tekniske korrektioner'!$K$13:$K$288,"x",'Tekniske korrektioner'!$C$13:$C$288,"35")</f>
        <v>-288340</v>
      </c>
      <c r="G116" s="592">
        <f>SUMIFS('Tekniske korrektioner'!I$13:I$288,'Tekniske korrektioner'!$K$13:$K$288,"x",'Tekniske korrektioner'!$C$13:$C$288,"35")</f>
        <v>-288340</v>
      </c>
      <c r="J116" s="594"/>
      <c r="K116" s="594"/>
      <c r="L116" s="594"/>
      <c r="M116" s="594"/>
      <c r="S116" t="s">
        <v>155</v>
      </c>
    </row>
    <row r="117" spans="1:19" x14ac:dyDescent="0.35">
      <c r="C117" s="28" t="s">
        <v>107</v>
      </c>
      <c r="D117" s="592">
        <f>SUMIFS('Afledt drift'!E$13:E$78,'Afledt drift'!$J$13:$J$78,"x",'Afledt drift'!$C$13:$C$78,"35")</f>
        <v>0</v>
      </c>
      <c r="E117" s="592">
        <f>SUMIFS('Afledt drift'!F$13:F$78,'Afledt drift'!$J$13:$J$78,"x",'Afledt drift'!$C$13:$C$78,"35")</f>
        <v>0</v>
      </c>
      <c r="F117" s="592">
        <f>SUMIFS('Afledt drift'!G$13:G$78,'Afledt drift'!$J$13:$J$78,"x",'Afledt drift'!$C$13:$C$78,"35")</f>
        <v>0</v>
      </c>
      <c r="G117" s="592">
        <f>SUMIFS('Afledt drift'!H$13:H$78,'Afledt drift'!$J$13:$J$78,"x",'Afledt drift'!$C$13:$C$78,"35")</f>
        <v>0</v>
      </c>
      <c r="J117" s="594">
        <f>D120-J120</f>
        <v>-3001.2220000000088</v>
      </c>
      <c r="K117" s="594">
        <f>E120-K120</f>
        <v>-3003.1570000000065</v>
      </c>
      <c r="L117" s="594">
        <f>F120-L120</f>
        <v>-3001.2480000000214</v>
      </c>
      <c r="M117" s="594">
        <f>G120-M120</f>
        <v>-3001.2480000000214</v>
      </c>
      <c r="O117" t="s">
        <v>110</v>
      </c>
    </row>
    <row r="118" spans="1:19" x14ac:dyDescent="0.35">
      <c r="C118" t="s">
        <v>108</v>
      </c>
      <c r="D118" s="592">
        <f>SUMIFS(Aktivitetsudvidelser!F$14:F$197,Aktivitetsudvidelser!$L$14:$L$197,"x",Aktivitetsudvidelser!$D$14:$D$197,"35")</f>
        <v>0</v>
      </c>
      <c r="E118" s="592">
        <f>SUMIFS(Aktivitetsudvidelser!G$14:G$197,Aktivitetsudvidelser!$L$14:$L$197,"x",Aktivitetsudvidelser!$D$14:$D$197,"35")</f>
        <v>0</v>
      </c>
      <c r="F118" s="592">
        <f>SUMIFS(Aktivitetsudvidelser!H$14:H$197,Aktivitetsudvidelser!$L$14:$L$197,"x",Aktivitetsudvidelser!$D$14:$D$197,"35")</f>
        <v>0</v>
      </c>
      <c r="G118" s="592">
        <f>SUMIFS(Aktivitetsudvidelser!I$14:I$197,Aktivitetsudvidelser!$L$14:$L$197,"x",Aktivitetsudvidelser!$D$14:$D$197,"35")</f>
        <v>0</v>
      </c>
      <c r="J118" s="594"/>
      <c r="K118" s="594"/>
      <c r="L118" s="594"/>
      <c r="M118" s="594"/>
    </row>
    <row r="119" spans="1:19" ht="13.15" thickBot="1" x14ac:dyDescent="0.4">
      <c r="C119" t="s">
        <v>39</v>
      </c>
      <c r="D119" s="592">
        <f>SUMIFS(Finansieringsforslag!H$12:H$165,Finansieringsforslag!$N$12:$N$165,"x",Finansieringsforslag!$E$12:$E$165,"35")</f>
        <v>-3000</v>
      </c>
      <c r="E119" s="592">
        <f>SUMIFS(Finansieringsforslag!$I$12:$I$165,Finansieringsforslag!$N$12:$N$165,"x",Finansieringsforslag!$E$12:$E$165,"35")</f>
        <v>-3000</v>
      </c>
      <c r="F119" s="592">
        <f>SUMIFS(Finansieringsforslag!$J$12:$J$165,Finansieringsforslag!$N$12:$N$165,"x",Finansieringsforslag!$E$12:$E$165,"35")</f>
        <v>-3000</v>
      </c>
      <c r="G119" s="592">
        <f>SUMIFS(Finansieringsforslag!$K$12:$K$165,Finansieringsforslag!$N$12:$N$165,"x",Finansieringsforslag!$E$12:$E$165,"35")</f>
        <v>-3000</v>
      </c>
      <c r="J119" s="594"/>
      <c r="K119" s="594"/>
      <c r="L119" s="594"/>
      <c r="M119" s="594"/>
    </row>
    <row r="120" spans="1:19" ht="15" customHeight="1" thickBot="1" x14ac:dyDescent="0.4">
      <c r="B120" s="28" t="str">
        <f>B14</f>
        <v>Vedtaget budget 2027 - 2030</v>
      </c>
      <c r="D120" s="592">
        <f>SUM(D115:D119)</f>
        <v>39829.777999999991</v>
      </c>
      <c r="E120" s="592">
        <f>SUM(E115:E119)</f>
        <v>39928.842999999993</v>
      </c>
      <c r="F120" s="592">
        <f>SUM(F115:F119)</f>
        <v>39929.751999999979</v>
      </c>
      <c r="G120" s="592">
        <f>SUM(G115:G119)</f>
        <v>39929.751999999979</v>
      </c>
      <c r="J120" s="239">
        <v>42831</v>
      </c>
      <c r="K120" s="239">
        <v>42932</v>
      </c>
      <c r="L120" s="239">
        <v>42931</v>
      </c>
      <c r="M120" s="239">
        <v>42931</v>
      </c>
      <c r="N120" s="28" t="s">
        <v>119</v>
      </c>
      <c r="O120" s="147" t="str">
        <f>O32</f>
        <v>24.08.2026</v>
      </c>
    </row>
    <row r="121" spans="1:19" ht="15" customHeight="1" x14ac:dyDescent="0.35">
      <c r="B121" s="28"/>
      <c r="D121" s="592"/>
      <c r="E121" s="592"/>
      <c r="F121" s="592"/>
      <c r="G121" s="592"/>
      <c r="J121" s="211"/>
      <c r="K121" s="211"/>
      <c r="L121" s="211"/>
      <c r="M121" s="211"/>
      <c r="N121" s="28"/>
      <c r="O121" s="147"/>
    </row>
    <row r="122" spans="1:19" ht="15" customHeight="1" thickBot="1" x14ac:dyDescent="0.4">
      <c r="A122" s="28" t="s">
        <v>440</v>
      </c>
      <c r="D122" s="592"/>
      <c r="E122" s="592"/>
      <c r="F122" s="592"/>
      <c r="G122" s="592"/>
      <c r="J122" s="594"/>
      <c r="K122" s="594"/>
      <c r="L122" s="594"/>
      <c r="M122" s="594"/>
    </row>
    <row r="123" spans="1:19" ht="15" customHeight="1" thickBot="1" x14ac:dyDescent="0.4">
      <c r="B123" s="28" t="str">
        <f>+B115</f>
        <v>Oprindelig budget 2027-2030</v>
      </c>
      <c r="D123" s="239">
        <v>60631.368000000002</v>
      </c>
      <c r="E123" s="239">
        <v>60637.567999999999</v>
      </c>
      <c r="F123" s="239">
        <v>60637.565000000002</v>
      </c>
      <c r="G123" s="239">
        <v>60637.565000000002</v>
      </c>
      <c r="J123" s="594"/>
      <c r="K123" s="594"/>
      <c r="L123" s="594"/>
      <c r="M123" s="594"/>
    </row>
    <row r="124" spans="1:19" ht="15" customHeight="1" x14ac:dyDescent="0.35">
      <c r="C124" t="s">
        <v>29</v>
      </c>
      <c r="D124" s="592">
        <f>SUMIFS('Tekniske korrektioner'!F$13:F$288,'Tekniske korrektioner'!$K$13:$K$288,"x",'Tekniske korrektioner'!$C$13:$C$288,"38")+SUMIFS('Tekniske korrektioner'!E$13:E$288,'Tekniske korrektioner'!$K$13:$K$288,"x",'Tekniske korrektioner'!$C$13:$C$288,"38")</f>
        <v>-4919</v>
      </c>
      <c r="E124" s="592">
        <f>SUMIFS('Tekniske korrektioner'!G$13:G$288,'Tekniske korrektioner'!$K$13:$K$288,"x",'Tekniske korrektioner'!$C$13:$C$288,"38")</f>
        <v>-4317</v>
      </c>
      <c r="F124" s="592">
        <f>SUMIFS('Tekniske korrektioner'!H$13:H$288,'Tekniske korrektioner'!$K$13:$K$288,"x",'Tekniske korrektioner'!$C$13:$C$288,"38")</f>
        <v>-4254</v>
      </c>
      <c r="G124" s="592">
        <f>SUMIFS('Tekniske korrektioner'!I$13:I$288,'Tekniske korrektioner'!$K$13:$K$288,"x",'Tekniske korrektioner'!$C$13:$C$288,"38")</f>
        <v>-4254</v>
      </c>
      <c r="J124" s="594"/>
      <c r="K124" s="594"/>
      <c r="L124" s="594"/>
      <c r="M124" s="594"/>
    </row>
    <row r="125" spans="1:19" ht="15" customHeight="1" x14ac:dyDescent="0.35">
      <c r="C125" s="28" t="s">
        <v>107</v>
      </c>
      <c r="D125" s="592">
        <f>SUMIFS('Afledt drift'!E$13:E$78,'Afledt drift'!$J$13:$J$78,"x",'Afledt drift'!$C$13:$C$78,"38")</f>
        <v>0</v>
      </c>
      <c r="E125" s="592">
        <f>SUMIFS('Afledt drift'!F$13:F$78,'Afledt drift'!$J$13:$J$78,"x",'Afledt drift'!$C$13:$C$78,"38")</f>
        <v>0</v>
      </c>
      <c r="F125" s="592">
        <f>SUMIFS('Afledt drift'!G$13:G$78,'Afledt drift'!$J$13:$J$78,"x",'Afledt drift'!$C$13:$C$78,"38")</f>
        <v>0</v>
      </c>
      <c r="G125" s="592">
        <f>SUMIFS('Afledt drift'!H$13:H$78,'Afledt drift'!$J$13:$J$78,"x",'Afledt drift'!$C$13:$C$78,"38")</f>
        <v>0</v>
      </c>
      <c r="J125" s="594">
        <f>D128-J128</f>
        <v>-2371.6319999999978</v>
      </c>
      <c r="K125" s="594">
        <f>E128-K128</f>
        <v>-2124.4320000000007</v>
      </c>
      <c r="L125" s="594">
        <f>F128-L128</f>
        <v>-2124.4349999999977</v>
      </c>
      <c r="M125" s="594">
        <f>G128-M128</f>
        <v>-2124.4349999999977</v>
      </c>
      <c r="O125" t="s">
        <v>110</v>
      </c>
    </row>
    <row r="126" spans="1:19" ht="15" customHeight="1" x14ac:dyDescent="0.35">
      <c r="C126" t="s">
        <v>108</v>
      </c>
      <c r="D126" s="592">
        <f>SUMIFS(Aktivitetsudvidelser!F$14:F$197,Aktivitetsudvidelser!$L$14:$L$197,"x",Aktivitetsudvidelser!$D$14:$D$197,"38")</f>
        <v>100</v>
      </c>
      <c r="E126" s="592">
        <f>SUMIFS(Aktivitetsudvidelser!G$14:G$197,Aktivitetsudvidelser!$L$14:$L$197,"x",Aktivitetsudvidelser!$D$14:$D$197,"38")</f>
        <v>100</v>
      </c>
      <c r="F126" s="592">
        <f>SUMIFS(Aktivitetsudvidelser!H$14:H$197,Aktivitetsudvidelser!$L$14:$L$197,"x",Aktivitetsudvidelser!$D$14:$D$197,"38")</f>
        <v>100</v>
      </c>
      <c r="G126" s="592">
        <f>SUMIFS(Aktivitetsudvidelser!I$14:I$197,Aktivitetsudvidelser!$L$14:$L$197,"x",Aktivitetsudvidelser!$D$14:$D$197,"38")</f>
        <v>100</v>
      </c>
      <c r="J126" s="594"/>
      <c r="K126" s="594"/>
      <c r="L126" s="594"/>
      <c r="M126" s="594"/>
    </row>
    <row r="127" spans="1:19" ht="13.15" thickBot="1" x14ac:dyDescent="0.4">
      <c r="C127" t="s">
        <v>39</v>
      </c>
      <c r="D127" s="592">
        <f>SUMIFS(Finansieringsforslag!H$12:H$175,Finansieringsforslag!$N$12:$N$175,"x",Finansieringsforslag!$E$12:$E$175,"38")</f>
        <v>-4465</v>
      </c>
      <c r="E127" s="592">
        <f>SUMIFS(Finansieringsforslag!I$12:I$175,Finansieringsforslag!$N$12:$N$175,"x",Finansieringsforslag!$E$12:$E$175,"38")</f>
        <v>-2215</v>
      </c>
      <c r="F127" s="592">
        <f>SUMIFS(Finansieringsforslag!J$12:J$175,Finansieringsforslag!$N$12:$N$175,"x",Finansieringsforslag!$E$12:$E$175,"38")</f>
        <v>-2215</v>
      </c>
      <c r="G127" s="592">
        <f>SUMIFS(Finansieringsforslag!K$12:K$175,Finansieringsforslag!$N$12:$N$175,"x",Finansieringsforslag!$E$12:$E$175,"38")</f>
        <v>-2215</v>
      </c>
      <c r="J127" s="594"/>
      <c r="K127" s="594"/>
      <c r="L127" s="594"/>
      <c r="M127" s="594"/>
    </row>
    <row r="128" spans="1:19" ht="13.15" thickBot="1" x14ac:dyDescent="0.4">
      <c r="B128" s="28" t="str">
        <f>+B120</f>
        <v>Vedtaget budget 2027 - 2030</v>
      </c>
      <c r="D128" s="592">
        <f>SUM(D123:D127)</f>
        <v>51347.368000000002</v>
      </c>
      <c r="E128" s="592">
        <f>SUM(E123:E127)</f>
        <v>54205.567999999999</v>
      </c>
      <c r="F128" s="592">
        <f>SUM(F123:F127)</f>
        <v>54268.565000000002</v>
      </c>
      <c r="G128" s="592">
        <f>SUM(G123:G127)</f>
        <v>54268.565000000002</v>
      </c>
      <c r="J128" s="239">
        <v>53719</v>
      </c>
      <c r="K128" s="239">
        <v>56330</v>
      </c>
      <c r="L128" s="239">
        <v>56393</v>
      </c>
      <c r="M128" s="239">
        <v>56393</v>
      </c>
      <c r="N128" s="28" t="s">
        <v>119</v>
      </c>
      <c r="O128" s="147" t="str">
        <f>+O120</f>
        <v>24.08.2026</v>
      </c>
    </row>
    <row r="129" spans="1:20" x14ac:dyDescent="0.35">
      <c r="D129" s="592"/>
      <c r="E129" s="592"/>
      <c r="F129" s="592"/>
      <c r="G129" s="592"/>
    </row>
    <row r="130" spans="1:20" ht="13.15" thickBot="1" x14ac:dyDescent="0.4">
      <c r="A130" t="s">
        <v>111</v>
      </c>
      <c r="D130" s="592"/>
      <c r="E130" s="592"/>
      <c r="F130" s="592"/>
      <c r="G130" s="592"/>
    </row>
    <row r="131" spans="1:20" ht="13.15" thickBot="1" x14ac:dyDescent="0.4">
      <c r="B131" s="28" t="str">
        <f>B9</f>
        <v>Oprindelig budget 2027-2030</v>
      </c>
      <c r="D131" s="239">
        <v>327914.75300000003</v>
      </c>
      <c r="E131" s="239">
        <v>327389.01500000001</v>
      </c>
      <c r="F131" s="239">
        <v>326633.69099999999</v>
      </c>
      <c r="G131" s="239">
        <v>326633.69099999999</v>
      </c>
    </row>
    <row r="132" spans="1:20" x14ac:dyDescent="0.35">
      <c r="C132" t="s">
        <v>29</v>
      </c>
      <c r="D132" s="592">
        <f>SUMIFS('Tekniske korrektioner'!F$13:F$401,'Tekniske korrektioner'!$K$13:$K$401,"x",'Tekniske korrektioner'!$C$13:$C$401,"41")+SUMIFS('Tekniske korrektioner'!E$13:E$401,'Tekniske korrektioner'!$K$13:$K$401,"x",'Tekniske korrektioner'!$C$13:$C$401,"41")</f>
        <v>15956</v>
      </c>
      <c r="E132" s="592">
        <f>SUMIFS('Tekniske korrektioner'!G$13:G$401,'Tekniske korrektioner'!$K$13:$K$401,"x",'Tekniske korrektioner'!$C$13:$C$401,"41")</f>
        <v>11465</v>
      </c>
      <c r="F132" s="592">
        <f>SUMIFS('Tekniske korrektioner'!H$13:H$401,'Tekniske korrektioner'!$K$13:$K$401,"x",'Tekniske korrektioner'!$C$13:$C$401,"41")</f>
        <v>10810</v>
      </c>
      <c r="G132" s="592">
        <f>SUMIFS('Tekniske korrektioner'!I$13:I$401,'Tekniske korrektioner'!$K$13:$K$401,"x",'Tekniske korrektioner'!$C$13:$C$401,"41")</f>
        <v>11633</v>
      </c>
    </row>
    <row r="133" spans="1:20" x14ac:dyDescent="0.35">
      <c r="C133" s="28" t="s">
        <v>107</v>
      </c>
      <c r="D133" s="592">
        <f>SUMIFS('Afledt drift'!E$13:E$78,'Afledt drift'!$J$13:$J$78,"x",'Afledt drift'!$C$13:$C$78,"41")</f>
        <v>29</v>
      </c>
      <c r="E133" s="592">
        <f>SUMIFS('Afledt drift'!F$13:F$78,'Afledt drift'!$J$13:$J$78,"x",'Afledt drift'!$C$13:$C$78,"41")</f>
        <v>29</v>
      </c>
      <c r="F133" s="592">
        <f>SUMIFS('Afledt drift'!G$13:G$78,'Afledt drift'!$J$13:$J$78,"x",'Afledt drift'!$C$13:$C$78,"41")</f>
        <v>29</v>
      </c>
      <c r="G133" s="592">
        <f>SUMIFS('Afledt drift'!H$13:H$78,'Afledt drift'!$J$13:$J$78,"x",'Afledt drift'!$C$13:$C$78,"41")</f>
        <v>0</v>
      </c>
      <c r="J133" s="594">
        <f>D136-J136</f>
        <v>8948.7530000000261</v>
      </c>
      <c r="K133" s="594">
        <f>E136-K136</f>
        <v>8949.015000000014</v>
      </c>
      <c r="L133" s="594">
        <f>F136-L136</f>
        <v>2611.6909999999916</v>
      </c>
      <c r="M133" s="594">
        <f>G136-M136</f>
        <v>-3755.3090000000084</v>
      </c>
      <c r="O133" t="s">
        <v>110</v>
      </c>
    </row>
    <row r="134" spans="1:20" x14ac:dyDescent="0.35">
      <c r="C134" t="s">
        <v>108</v>
      </c>
      <c r="D134" s="592">
        <f>SUMIFS(Aktivitetsudvidelser!F$14:F$197,Aktivitetsudvidelser!$L$14:$L$197,"x",Aktivitetsudvidelser!$D$14:$D$197,"41")</f>
        <v>9720</v>
      </c>
      <c r="E134" s="592">
        <f>SUMIFS(Aktivitetsudvidelser!G$14:G$197,Aktivitetsudvidelser!$L$14:$L$197,"x",Aktivitetsudvidelser!$D$14:$D$197,"41")</f>
        <v>12393</v>
      </c>
      <c r="F134" s="592">
        <f>SUMIFS(Aktivitetsudvidelser!H$14:H$197,Aktivitetsudvidelser!$L$14:$L$197,"x",Aktivitetsudvidelser!$D$14:$D$197,"41")</f>
        <v>8728</v>
      </c>
      <c r="G134" s="592">
        <f>SUMIFS(Aktivitetsudvidelser!I$14:I$197,Aktivitetsudvidelser!$L$14:$L$197,"x",Aktivitetsudvidelser!$D$14:$D$197,"41")</f>
        <v>2390</v>
      </c>
    </row>
    <row r="135" spans="1:20" ht="13.15" thickBot="1" x14ac:dyDescent="0.4">
      <c r="C135" t="s">
        <v>39</v>
      </c>
      <c r="D135" s="592">
        <f>SUMIFS(Finansieringsforslag!H$12:H$165,Finansieringsforslag!$N$12:$N$165,"x",Finansieringsforslag!$E$12:$E$165,"41")</f>
        <v>0</v>
      </c>
      <c r="E135" s="592">
        <f>SUMIFS(Finansieringsforslag!$I$12:$I$165,Finansieringsforslag!$N$12:$N$165,"x",Finansieringsforslag!$E$12:$E$165,"41")</f>
        <v>0</v>
      </c>
      <c r="F135" s="592">
        <f>SUMIFS(Finansieringsforslag!$J$12:$J$165,Finansieringsforslag!$N$12:$N$165,"x",Finansieringsforslag!$E$12:$E$165,"41")</f>
        <v>0</v>
      </c>
      <c r="G135" s="592">
        <f>SUMIFS(Finansieringsforslag!$K$12:$K$165,Finansieringsforslag!$N$12:$N$165,"x",Finansieringsforslag!$E$12:$E$165,"41")</f>
        <v>0</v>
      </c>
    </row>
    <row r="136" spans="1:20" ht="13.15" thickBot="1" x14ac:dyDescent="0.4">
      <c r="B136" s="28" t="str">
        <f>B14</f>
        <v>Vedtaget budget 2027 - 2030</v>
      </c>
      <c r="D136" s="592">
        <f>SUM(D131:D135)</f>
        <v>353619.75300000003</v>
      </c>
      <c r="E136" s="592">
        <f>SUM(E131:E135)</f>
        <v>351276.01500000001</v>
      </c>
      <c r="F136" s="592">
        <f>SUM(F131:F135)</f>
        <v>346200.69099999999</v>
      </c>
      <c r="G136" s="592">
        <f>SUM(G131:G135)</f>
        <v>340656.69099999999</v>
      </c>
      <c r="J136" s="239">
        <v>344671</v>
      </c>
      <c r="K136" s="239">
        <v>342327</v>
      </c>
      <c r="L136" s="239">
        <v>343589</v>
      </c>
      <c r="M136" s="239">
        <v>344412</v>
      </c>
      <c r="N136" t="s">
        <v>119</v>
      </c>
      <c r="O136" s="147" t="str">
        <f>O120</f>
        <v>24.08.2026</v>
      </c>
    </row>
    <row r="137" spans="1:20" x14ac:dyDescent="0.35">
      <c r="D137" s="592"/>
      <c r="E137" s="592"/>
      <c r="F137" s="592"/>
      <c r="G137" s="592"/>
    </row>
    <row r="138" spans="1:20" x14ac:dyDescent="0.35">
      <c r="D138" s="592"/>
      <c r="E138" s="592"/>
      <c r="F138" s="592"/>
      <c r="G138" s="592"/>
    </row>
    <row r="139" spans="1:20" ht="13.15" thickBot="1" x14ac:dyDescent="0.4">
      <c r="A139" t="s">
        <v>450</v>
      </c>
      <c r="D139" s="592"/>
      <c r="E139" s="592"/>
      <c r="F139" s="592"/>
      <c r="G139" s="592"/>
    </row>
    <row r="140" spans="1:20" ht="13.15" thickBot="1" x14ac:dyDescent="0.4">
      <c r="B140" s="28" t="str">
        <f>B9</f>
        <v>Oprindelig budget 2027-2030</v>
      </c>
      <c r="D140" s="239">
        <v>695326.90899999999</v>
      </c>
      <c r="E140" s="239">
        <v>691719.40800000005</v>
      </c>
      <c r="F140" s="239">
        <v>698574.94200000004</v>
      </c>
      <c r="G140" s="239">
        <v>698574.94200000004</v>
      </c>
    </row>
    <row r="141" spans="1:20" x14ac:dyDescent="0.35">
      <c r="C141" t="s">
        <v>29</v>
      </c>
      <c r="D141" s="592">
        <f>SUMIFS('Tekniske korrektioner'!F$13:F$309,'Tekniske korrektioner'!$K$13:$K$309,"x",'Tekniske korrektioner'!$C$13:$C$309,"42")+SUMIFS('Tekniske korrektioner'!E$13:E$309,'Tekniske korrektioner'!$K$13:$K$309,"x",'Tekniske korrektioner'!$C$13:$C$309,"42")</f>
        <v>-3567</v>
      </c>
      <c r="E141" s="592">
        <f>SUMIFS('Tekniske korrektioner'!G$13:G$309,'Tekniske korrektioner'!$K$13:$K$309,"x",'Tekniske korrektioner'!$C$13:$C$309,"42")</f>
        <v>-3017</v>
      </c>
      <c r="F141" s="592">
        <f>SUMIFS('Tekniske korrektioner'!H$13:H$309,'Tekniske korrektioner'!$K$13:$K$309,"x",'Tekniske korrektioner'!$C$13:$C$309,"42")</f>
        <v>-6050</v>
      </c>
      <c r="G141" s="592">
        <f>SUMIFS('Tekniske korrektioner'!I$13:I$309,'Tekniske korrektioner'!$K$13:$K$309,"x",'Tekniske korrektioner'!$C$13:$C$309,"42")</f>
        <v>-7140</v>
      </c>
    </row>
    <row r="142" spans="1:20" x14ac:dyDescent="0.35">
      <c r="C142" s="28" t="s">
        <v>107</v>
      </c>
      <c r="D142" s="592">
        <f>SUMIFS('Afledt drift'!E$13:E$78,'Afledt drift'!$J$13:$J$78,"x",'Afledt drift'!$C$13:$C$78,"42")</f>
        <v>141</v>
      </c>
      <c r="E142" s="592">
        <f>SUMIFS('Afledt drift'!F$13:F$78,'Afledt drift'!$J$13:$J$78,"x",'Afledt drift'!$C$13:$C$78,"42")</f>
        <v>141</v>
      </c>
      <c r="F142" s="592">
        <f>SUMIFS('Afledt drift'!G$13:G$78,'Afledt drift'!$J$13:$J$78,"x",'Afledt drift'!$C$13:$C$78,"42")</f>
        <v>147</v>
      </c>
      <c r="G142" s="592">
        <f>SUMIFS('Afledt drift'!H$13:H$78,'Afledt drift'!$J$13:$J$78,"x",'Afledt drift'!$C$13:$C$78,"42")</f>
        <v>152</v>
      </c>
      <c r="J142" s="594">
        <f>D145-J145</f>
        <v>-5502.0910000000149</v>
      </c>
      <c r="K142" s="594">
        <f>E145-K145</f>
        <v>-4449.591999999946</v>
      </c>
      <c r="L142" s="594">
        <f>F145-L145</f>
        <v>-7095.0579999999609</v>
      </c>
      <c r="M142" s="594">
        <f>G145-M145</f>
        <v>-9739.0579999999609</v>
      </c>
      <c r="O142" t="s">
        <v>110</v>
      </c>
      <c r="Q142" s="105"/>
      <c r="R142" s="105"/>
      <c r="S142" s="105"/>
      <c r="T142" s="105"/>
    </row>
    <row r="143" spans="1:20" x14ac:dyDescent="0.35">
      <c r="C143" t="s">
        <v>108</v>
      </c>
      <c r="D143" s="592">
        <f>SUMIFS(Aktivitetsudvidelser!F$14:F$197,Aktivitetsudvidelser!$L$14:$L$197,"x",Aktivitetsudvidelser!$D$14:$D$197,"42")</f>
        <v>11166</v>
      </c>
      <c r="E143" s="592">
        <f>SUMIFS(Aktivitetsudvidelser!G$14:G$197,Aktivitetsudvidelser!$L$14:$L$197,"x",Aktivitetsudvidelser!$D$14:$D$197,"42")</f>
        <v>15999</v>
      </c>
      <c r="F143" s="592">
        <f>SUMIFS(Aktivitetsudvidelser!H$14:H$197,Aktivitetsudvidelser!$L$14:$L$197,"x",Aktivitetsudvidelser!$D$14:$D$197,"42")</f>
        <v>15966</v>
      </c>
      <c r="G143" s="592">
        <f>SUMIFS(Aktivitetsudvidelser!I$14:I$197,Aktivitetsudvidelser!$L$14:$L$197,"x",Aktivitetsudvidelser!$D$14:$D$197,"42")</f>
        <v>13317</v>
      </c>
    </row>
    <row r="144" spans="1:20" ht="13.15" thickBot="1" x14ac:dyDescent="0.4">
      <c r="C144" t="s">
        <v>39</v>
      </c>
      <c r="D144" s="592">
        <f>SUMIFS(Finansieringsforslag!H$12:H$165,Finansieringsforslag!$N$12:$N$165,"x",Finansieringsforslag!$E$12:$E$165,"42")</f>
        <v>-8717</v>
      </c>
      <c r="E144" s="592">
        <f>SUMIFS(Finansieringsforslag!$I$12:$I$165,Finansieringsforslag!$N$12:$N$165,"x",Finansieringsforslag!$E$12:$E$165,"42")</f>
        <v>-10000</v>
      </c>
      <c r="F144" s="592">
        <f>SUMIFS(Finansieringsforslag!$J$12:$J$165,Finansieringsforslag!$N$12:$N$165,"x",Finansieringsforslag!$E$12:$E$165,"42")</f>
        <v>-10000</v>
      </c>
      <c r="G144" s="592">
        <f>SUMIFS(Finansieringsforslag!$K$12:$K$165,Finansieringsforslag!$N$12:$N$165,"x",Finansieringsforslag!$E$12:$E$165,"42")</f>
        <v>-10000</v>
      </c>
      <c r="N144" s="28"/>
    </row>
    <row r="145" spans="1:19" ht="13.15" thickBot="1" x14ac:dyDescent="0.4">
      <c r="B145" s="28" t="str">
        <f>B14</f>
        <v>Vedtaget budget 2027 - 2030</v>
      </c>
      <c r="D145" s="592">
        <f>SUM(D140:D144)</f>
        <v>694349.90899999999</v>
      </c>
      <c r="E145" s="592">
        <f>SUM(E140:E144)</f>
        <v>694842.40800000005</v>
      </c>
      <c r="F145" s="592">
        <f>SUM(F140:F144)</f>
        <v>698637.94200000004</v>
      </c>
      <c r="G145" s="592">
        <f>SUM(G140:G144)</f>
        <v>694903.94200000004</v>
      </c>
      <c r="J145" s="239">
        <v>699852</v>
      </c>
      <c r="K145" s="239">
        <v>699292</v>
      </c>
      <c r="L145" s="239">
        <v>705733</v>
      </c>
      <c r="M145" s="239">
        <v>704643</v>
      </c>
      <c r="N145" t="s">
        <v>119</v>
      </c>
      <c r="O145" s="147" t="str">
        <f>O41</f>
        <v>24.08.2026</v>
      </c>
      <c r="S145" t="s">
        <v>155</v>
      </c>
    </row>
    <row r="146" spans="1:19" x14ac:dyDescent="0.35">
      <c r="D146" s="592"/>
      <c r="E146" s="592"/>
      <c r="F146" s="592"/>
      <c r="G146" s="592"/>
    </row>
    <row r="147" spans="1:19" x14ac:dyDescent="0.35">
      <c r="D147" s="592"/>
      <c r="E147" s="592"/>
      <c r="F147" s="592"/>
      <c r="G147" s="592"/>
    </row>
    <row r="148" spans="1:19" ht="13.15" thickBot="1" x14ac:dyDescent="0.4">
      <c r="A148" s="28" t="s">
        <v>144</v>
      </c>
      <c r="D148" s="592"/>
      <c r="E148" s="592"/>
      <c r="F148" s="592"/>
      <c r="G148" s="592"/>
    </row>
    <row r="149" spans="1:19" ht="13.15" thickBot="1" x14ac:dyDescent="0.4">
      <c r="B149" s="28" t="str">
        <f>B9</f>
        <v>Oprindelig budget 2027-2030</v>
      </c>
      <c r="D149" s="239">
        <v>5930.6490000000003</v>
      </c>
      <c r="E149" s="239">
        <v>6136.6490000000003</v>
      </c>
      <c r="F149" s="239">
        <v>6136.6490000000003</v>
      </c>
      <c r="G149" s="239">
        <v>6136.6490000000003</v>
      </c>
    </row>
    <row r="150" spans="1:19" x14ac:dyDescent="0.35">
      <c r="C150" t="s">
        <v>29</v>
      </c>
      <c r="D150" s="592">
        <f>SUMIFS('Tekniske korrektioner'!F$312:F$401,'Tekniske korrektioner'!$K$312:$K$401,"x",'Tekniske korrektioner'!$C$312:$C$401,"43")+SUMIFS('Tekniske korrektioner'!E$312:E$401,'Tekniske korrektioner'!$K$312:$K$401,"x",'Tekniske korrektioner'!$C$312:$C$401,"43")</f>
        <v>263</v>
      </c>
      <c r="E150" s="592">
        <f>SUMIFS('Tekniske korrektioner'!G$312:G$401,'Tekniske korrektioner'!$K$312:$K$401,"x",'Tekniske korrektioner'!$C$312:$C$401,"43")</f>
        <v>99</v>
      </c>
      <c r="F150" s="592">
        <f>SUMIFS('Tekniske korrektioner'!H$312:H$401,'Tekniske korrektioner'!$K$312:$K$401,"x",'Tekniske korrektioner'!$C$312:$C$401,"43")</f>
        <v>99</v>
      </c>
      <c r="G150" s="592">
        <f>SUMIFS('Tekniske korrektioner'!I$312:I$401,'Tekniske korrektioner'!$K$312:$K$401,"x",'Tekniske korrektioner'!$C$312:$C$401,"43")</f>
        <v>100</v>
      </c>
    </row>
    <row r="151" spans="1:19" x14ac:dyDescent="0.35">
      <c r="C151" s="28" t="s">
        <v>107</v>
      </c>
      <c r="D151" s="592">
        <f>SUMIFS('Afledt drift'!E$13:E$78,'Afledt drift'!$J$13:$J$78,"x",'Afledt drift'!$C$13:$C$78,"43")</f>
        <v>0</v>
      </c>
      <c r="E151" s="592">
        <f>SUMIFS('Afledt drift'!F$13:F$78,'Afledt drift'!$J$13:$J$78,"x",'Afledt drift'!$C$13:$C$78,"43")</f>
        <v>0</v>
      </c>
      <c r="F151" s="592">
        <f>SUMIFS('Afledt drift'!G$13:G$78,'Afledt drift'!$J$13:$J$78,"x",'Afledt drift'!$C$13:$C$78,"43")</f>
        <v>0</v>
      </c>
      <c r="G151" s="592">
        <f>SUMIFS('Afledt drift'!H$13:H$78,'Afledt drift'!$J$13:$J$78,"x",'Afledt drift'!$C$13:$C$78,"43")</f>
        <v>0</v>
      </c>
      <c r="J151" s="594">
        <f>D154-J154</f>
        <v>0.64900000000034197</v>
      </c>
      <c r="K151" s="594">
        <f>E154-K154</f>
        <v>1.649000000000342</v>
      </c>
      <c r="L151" s="594">
        <f>F154-L154</f>
        <v>2.649000000000342</v>
      </c>
      <c r="M151" s="594">
        <f>G154-M154</f>
        <v>3.649000000000342</v>
      </c>
      <c r="O151" t="s">
        <v>110</v>
      </c>
    </row>
    <row r="152" spans="1:19" x14ac:dyDescent="0.35">
      <c r="C152" t="s">
        <v>108</v>
      </c>
      <c r="D152" s="592">
        <f>SUMIFS(Aktivitetsudvidelser!F$14:F$197,Aktivitetsudvidelser!$L$14:$L$197,"x",Aktivitetsudvidelser!$D$14:$D$197,"43")</f>
        <v>0</v>
      </c>
      <c r="E152" s="592">
        <f>SUMIFS(Aktivitetsudvidelser!G$14:G$197,Aktivitetsudvidelser!$L$14:$L$197,"x",Aktivitetsudvidelser!$D$14:$D$197,"43")</f>
        <v>0</v>
      </c>
      <c r="F152" s="592">
        <f>SUMIFS(Aktivitetsudvidelser!H$14:H$197,Aktivitetsudvidelser!$L$14:$L$197,"x",Aktivitetsudvidelser!$D$14:$D$197,"43")</f>
        <v>0</v>
      </c>
      <c r="G152" s="592">
        <f>SUMIFS(Aktivitetsudvidelser!I$14:I$197,Aktivitetsudvidelser!$L$14:$L$197,"x",Aktivitetsudvidelser!$D$14:$D$197,"43")</f>
        <v>0</v>
      </c>
    </row>
    <row r="153" spans="1:19" ht="13.15" thickBot="1" x14ac:dyDescent="0.4">
      <c r="C153" t="s">
        <v>39</v>
      </c>
      <c r="D153" s="592">
        <f>SUMIFS(Finansieringsforslag!H$12:H$165,Finansieringsforslag!$N$12:$N$165,"x",Finansieringsforslag!$E$12:$E$165,"43")</f>
        <v>0</v>
      </c>
      <c r="E153" s="592">
        <f>SUMIFS(Finansieringsforslag!$I$12:$I$165,Finansieringsforslag!$N$12:$N$165,"x",Finansieringsforslag!$E$12:$E$165,"43")</f>
        <v>0</v>
      </c>
      <c r="F153" s="592">
        <f>SUMIFS(Finansieringsforslag!$J$12:$J$165,Finansieringsforslag!$N$12:$N$165,"x",Finansieringsforslag!$E$12:$E$165,"43")</f>
        <v>0</v>
      </c>
      <c r="G153" s="592">
        <f>SUMIFS(Finansieringsforslag!$K$12:$K$165,Finansieringsforslag!$N$12:$N$165,"x",Finansieringsforslag!$E$12:$E$165,"43")</f>
        <v>0</v>
      </c>
      <c r="O153" s="147"/>
    </row>
    <row r="154" spans="1:19" ht="13.15" thickBot="1" x14ac:dyDescent="0.4">
      <c r="B154" s="28" t="str">
        <f>B14</f>
        <v>Vedtaget budget 2027 - 2030</v>
      </c>
      <c r="D154" s="592">
        <f>SUM(D149:D153)</f>
        <v>6193.6490000000003</v>
      </c>
      <c r="E154" s="592">
        <f>SUM(E149:E153)</f>
        <v>6235.6490000000003</v>
      </c>
      <c r="F154" s="592">
        <f>SUM(F149:F153)</f>
        <v>6235.6490000000003</v>
      </c>
      <c r="G154" s="592">
        <f>SUM(G149:G153)</f>
        <v>6236.6490000000003</v>
      </c>
      <c r="J154" s="239">
        <v>6193</v>
      </c>
      <c r="K154" s="239">
        <v>6234</v>
      </c>
      <c r="L154" s="239">
        <v>6233</v>
      </c>
      <c r="M154" s="239">
        <v>6233</v>
      </c>
      <c r="N154" t="s">
        <v>119</v>
      </c>
      <c r="O154" s="147" t="str">
        <f>O50</f>
        <v>24.08.2026</v>
      </c>
    </row>
    <row r="157" spans="1:19" ht="13.15" thickBot="1" x14ac:dyDescent="0.4">
      <c r="A157" t="s">
        <v>113</v>
      </c>
      <c r="D157" s="592"/>
      <c r="E157" s="592"/>
      <c r="F157" s="592"/>
      <c r="G157" s="592"/>
    </row>
    <row r="158" spans="1:19" ht="13.15" thickBot="1" x14ac:dyDescent="0.4">
      <c r="B158" s="28" t="str">
        <f>B9</f>
        <v>Oprindelig budget 2027-2030</v>
      </c>
      <c r="D158" s="239">
        <v>233243.53200000001</v>
      </c>
      <c r="E158" s="239">
        <v>229342.37100000001</v>
      </c>
      <c r="F158" s="239">
        <v>223336.43</v>
      </c>
      <c r="G158" s="239">
        <v>223336.43</v>
      </c>
    </row>
    <row r="159" spans="1:19" x14ac:dyDescent="0.35">
      <c r="C159" t="s">
        <v>29</v>
      </c>
      <c r="D159" s="592">
        <f>SUMIFS('Tekniske korrektioner'!F$321:F$369,'Tekniske korrektioner'!$K$321:$K$369,"x",'Tekniske korrektioner'!$C$321:$C$369,"44")+SUMIFS('Tekniske korrektioner'!E$321:E$369,'Tekniske korrektioner'!$K$321:$K$369,"x",'Tekniske korrektioner'!$C$321:$C$369,"44")</f>
        <v>8130</v>
      </c>
      <c r="E159" s="592">
        <f>SUMIFS('Tekniske korrektioner'!G$321:G$369,'Tekniske korrektioner'!$K$321:$K$369,"x",'Tekniske korrektioner'!$C$321:$C$369,"44")</f>
        <v>8679</v>
      </c>
      <c r="F159" s="592">
        <f>SUMIFS('Tekniske korrektioner'!H$321:H$369,'Tekniske korrektioner'!$K$321:$K$369,"x",'Tekniske korrektioner'!$C$321:$C$369,"44")</f>
        <v>9639</v>
      </c>
      <c r="G159" s="592">
        <f>SUMIFS('Tekniske korrektioner'!I$321:I$369,'Tekniske korrektioner'!$K$321:$K$369,"x",'Tekniske korrektioner'!$C$321:$C$369,"44")</f>
        <v>9562</v>
      </c>
    </row>
    <row r="160" spans="1:19" x14ac:dyDescent="0.35">
      <c r="C160" s="28" t="s">
        <v>107</v>
      </c>
      <c r="D160" s="592">
        <f>SUMIFS('Afledt drift'!E$13:E$78,'Afledt drift'!$J$13:$J$78,"x",'Afledt drift'!$C$13:$C$78,"44")</f>
        <v>0</v>
      </c>
      <c r="E160" s="592">
        <f>SUMIFS('Afledt drift'!F$13:F$78,'Afledt drift'!$J$13:$J$78,"x",'Afledt drift'!$C$13:$C$78,"44")</f>
        <v>0</v>
      </c>
      <c r="F160" s="592">
        <f>SUMIFS('Afledt drift'!G$13:G$78,'Afledt drift'!$J$13:$J$78,"x",'Afledt drift'!$C$13:$C$78,"44")</f>
        <v>0</v>
      </c>
      <c r="G160" s="592">
        <f>SUMIFS('Afledt drift'!H$13:H$78,'Afledt drift'!$J$13:$J$78,"x",'Afledt drift'!$C$13:$C$78,"44")</f>
        <v>0</v>
      </c>
      <c r="J160" s="594">
        <f>D163-J163</f>
        <v>-2430.4679999999935</v>
      </c>
      <c r="K160" s="594">
        <f>E163-K163</f>
        <v>-3032.6289999999863</v>
      </c>
      <c r="L160" s="594">
        <f>F163-L163</f>
        <v>-9460.570000000007</v>
      </c>
      <c r="M160" s="594">
        <f>G163-M163</f>
        <v>-17204.570000000007</v>
      </c>
      <c r="O160" t="s">
        <v>110</v>
      </c>
      <c r="P160" s="28"/>
    </row>
    <row r="161" spans="1:17" x14ac:dyDescent="0.35">
      <c r="C161" t="s">
        <v>108</v>
      </c>
      <c r="D161" s="592">
        <f>SUMIFS(Aktivitetsudvidelser!F$14:F$197,Aktivitetsudvidelser!$L$14:$L$197,"x",Aktivitetsudvidelser!$D$14:$D$197,"44")</f>
        <v>12195</v>
      </c>
      <c r="E161" s="592">
        <f>SUMIFS(Aktivitetsudvidelser!G$14:G$197,Aktivitetsudvidelser!$L$14:$L$197,"x",Aktivitetsudvidelser!$D$14:$D$197,"44")</f>
        <v>17937</v>
      </c>
      <c r="F161" s="592">
        <f>SUMIFS(Aktivitetsudvidelser!H$14:H$197,Aktivitetsudvidelser!$L$14:$L$197,"x",Aktivitetsudvidelser!$D$14:$D$197,"44")</f>
        <v>20264</v>
      </c>
      <c r="G161" s="592">
        <f>SUMIFS(Aktivitetsudvidelser!I$14:I$197,Aktivitetsudvidelser!$L$14:$L$197,"x",Aktivitetsudvidelser!$D$14:$D$197,"44")</f>
        <v>15153</v>
      </c>
      <c r="P161" s="28"/>
    </row>
    <row r="162" spans="1:17" ht="13.15" thickBot="1" x14ac:dyDescent="0.4">
      <c r="C162" t="s">
        <v>39</v>
      </c>
      <c r="D162" s="592">
        <f>SUMIFS(Finansieringsforslag!H$12:H$165,Finansieringsforslag!$N$12:$N$165,"x",Finansieringsforslag!$E$12:$E$165,"44")</f>
        <v>-2520</v>
      </c>
      <c r="E162" s="592">
        <f>SUMIFS(Finansieringsforslag!$I$12:$I$165,Finansieringsforslag!$N$12:$N$165,"x",Finansieringsforslag!$E$12:$E$165,"44")</f>
        <v>-3610</v>
      </c>
      <c r="F162" s="592">
        <f>SUMIFS(Finansieringsforslag!$J$12:$J$165,Finansieringsforslag!$N$12:$N$165,"x",Finansieringsforslag!$E$12:$E$165,"44")</f>
        <v>-4010</v>
      </c>
      <c r="G162" s="592">
        <f>SUMIFS(Finansieringsforslag!$K$12:$K$165,Finansieringsforslag!$N$12:$N$165,"x",Finansieringsforslag!$E$12:$E$165,"44")</f>
        <v>-4010</v>
      </c>
    </row>
    <row r="163" spans="1:17" ht="13.15" thickBot="1" x14ac:dyDescent="0.4">
      <c r="B163" s="28" t="str">
        <f>B14</f>
        <v>Vedtaget budget 2027 - 2030</v>
      </c>
      <c r="D163" s="592">
        <f>SUM(D158:D162)</f>
        <v>251048.53200000001</v>
      </c>
      <c r="E163" s="592">
        <f>SUM(E158:E162)</f>
        <v>252348.37100000001</v>
      </c>
      <c r="F163" s="592">
        <f>SUM(F158:F162)</f>
        <v>249229.43</v>
      </c>
      <c r="G163" s="592">
        <f>SUM(G158:G162)</f>
        <v>244041.43</v>
      </c>
      <c r="J163" s="239">
        <v>253479</v>
      </c>
      <c r="K163" s="239">
        <v>255381</v>
      </c>
      <c r="L163" s="239">
        <v>258690</v>
      </c>
      <c r="M163" s="239">
        <v>261246</v>
      </c>
      <c r="N163" t="s">
        <v>119</v>
      </c>
      <c r="O163" s="147" t="str">
        <f>O154</f>
        <v>24.08.2026</v>
      </c>
      <c r="P163" s="105"/>
      <c r="Q163" s="105"/>
    </row>
    <row r="164" spans="1:17" x14ac:dyDescent="0.35">
      <c r="D164" s="592"/>
      <c r="E164" s="592"/>
      <c r="F164" s="592"/>
      <c r="G164" s="592"/>
      <c r="Q164" s="105"/>
    </row>
    <row r="165" spans="1:17" x14ac:dyDescent="0.35">
      <c r="D165" s="592"/>
      <c r="E165" s="592"/>
      <c r="F165" s="592"/>
      <c r="G165" s="592"/>
      <c r="Q165" s="105"/>
    </row>
    <row r="166" spans="1:17" ht="13.15" thickBot="1" x14ac:dyDescent="0.4">
      <c r="A166" s="28" t="s">
        <v>445</v>
      </c>
      <c r="D166" s="592"/>
      <c r="E166" s="592"/>
      <c r="F166" s="592"/>
      <c r="G166" s="592"/>
      <c r="Q166" s="105"/>
    </row>
    <row r="167" spans="1:17" ht="13.15" thickBot="1" x14ac:dyDescent="0.4">
      <c r="B167" s="28" t="str">
        <f>B9</f>
        <v>Oprindelig budget 2027-2030</v>
      </c>
      <c r="D167" s="239">
        <v>106195.37300000001</v>
      </c>
      <c r="E167" s="239">
        <v>96853.656000000003</v>
      </c>
      <c r="F167" s="239">
        <v>96918.358999999997</v>
      </c>
      <c r="G167" s="239">
        <v>96918.358999999997</v>
      </c>
      <c r="Q167" s="105"/>
    </row>
    <row r="168" spans="1:17" x14ac:dyDescent="0.35">
      <c r="C168" t="s">
        <v>29</v>
      </c>
      <c r="D168" s="592">
        <f>SUMIFS('Tekniske korrektioner'!F$343:F$401,'Tekniske korrektioner'!$K$343:$K$401,"x",'Tekniske korrektioner'!$C$343:$C$401,"45")+SUMIFS('Tekniske korrektioner'!E$343:E$401,'Tekniske korrektioner'!$K$343:$K$401,"x",'Tekniske korrektioner'!$C$343:$C$401,"45")</f>
        <v>-3258</v>
      </c>
      <c r="E168" s="592">
        <f>SUMIFS('Tekniske korrektioner'!G$343:G$401,'Tekniske korrektioner'!$K$343:$K$401,"x",'Tekniske korrektioner'!$C$343:$C$401,"45")</f>
        <v>-82</v>
      </c>
      <c r="F168" s="592">
        <f>SUMIFS('Tekniske korrektioner'!H$343:H$401,'Tekniske korrektioner'!$K$343:$K$401,"x",'Tekniske korrektioner'!$C$343:$C$401,"45")</f>
        <v>-83</v>
      </c>
      <c r="G168" s="592">
        <f>SUMIFS('Tekniske korrektioner'!I$343:I$401,'Tekniske korrektioner'!$K$343:$K$401,"x",'Tekniske korrektioner'!$C$343:$C$401,"45")</f>
        <v>-83</v>
      </c>
      <c r="Q168" s="105"/>
    </row>
    <row r="169" spans="1:17" x14ac:dyDescent="0.35">
      <c r="C169" s="28" t="s">
        <v>107</v>
      </c>
      <c r="D169" s="592">
        <f>SUMIFS('Afledt drift'!E$13:E$78,'Afledt drift'!$J$13:$J$78,"x",'Afledt drift'!$C$13:$C$78,"45")</f>
        <v>35</v>
      </c>
      <c r="E169" s="592">
        <f>SUMIFS('Afledt drift'!F$13:F$78,'Afledt drift'!$J$13:$J$78,"x",'Afledt drift'!$C$13:$C$78,"45")</f>
        <v>35</v>
      </c>
      <c r="F169" s="592">
        <f>SUMIFS('Afledt drift'!G$13:G$78,'Afledt drift'!$J$13:$J$78,"x",'Afledt drift'!$C$13:$C$78,"45")</f>
        <v>35</v>
      </c>
      <c r="G169" s="592">
        <f>SUMIFS('Afledt drift'!H$13:H$78,'Afledt drift'!$J$13:$J$78,"x",'Afledt drift'!$C$13:$C$78,"45")</f>
        <v>35</v>
      </c>
      <c r="J169" s="594">
        <f>D172-J172</f>
        <v>-4269.6269999999931</v>
      </c>
      <c r="K169" s="594">
        <f>E172-K172</f>
        <v>2169.6560000000027</v>
      </c>
      <c r="L169" s="594">
        <f>F172-L172</f>
        <v>170.35899999999674</v>
      </c>
      <c r="M169" s="594">
        <f>G172-M172</f>
        <v>170.35899999999674</v>
      </c>
      <c r="O169" t="s">
        <v>110</v>
      </c>
      <c r="Q169" s="105"/>
    </row>
    <row r="170" spans="1:17" x14ac:dyDescent="0.35">
      <c r="C170" t="s">
        <v>108</v>
      </c>
      <c r="D170" s="592">
        <f>SUMIFS(Aktivitetsudvidelser!F$14:F$197,Aktivitetsudvidelser!$L$14:$L$197,"x",Aktivitetsudvidelser!$D$14:$D$197,"45")</f>
        <v>485</v>
      </c>
      <c r="E170" s="592">
        <f>SUMIFS(Aktivitetsudvidelser!G$14:G$197,Aktivitetsudvidelser!$L$14:$L$197,"x",Aktivitetsudvidelser!$D$14:$D$197,"45")</f>
        <v>485</v>
      </c>
      <c r="F170" s="592">
        <f>SUMIFS(Aktivitetsudvidelser!H$14:H$197,Aktivitetsudvidelser!$L$14:$L$197,"x",Aktivitetsudvidelser!$D$14:$D$197,"45")</f>
        <v>485</v>
      </c>
      <c r="G170" s="592">
        <f>SUMIFS(Aktivitetsudvidelser!I$14:I$197,Aktivitetsudvidelser!$L$14:$L$197,"x",Aktivitetsudvidelser!$D$14:$D$197,"45")</f>
        <v>485</v>
      </c>
      <c r="Q170" s="105"/>
    </row>
    <row r="171" spans="1:17" ht="13.15" thickBot="1" x14ac:dyDescent="0.4">
      <c r="C171" t="s">
        <v>39</v>
      </c>
      <c r="D171" s="592">
        <f>SUMIFS(Finansieringsforslag!H$12:H$165,Finansieringsforslag!$N$12:$N$165,"x",Finansieringsforslag!$E$12:$E$165,"45")</f>
        <v>-4788</v>
      </c>
      <c r="E171" s="592">
        <f>SUMIFS(Finansieringsforslag!$I$12:$I$165,Finansieringsforslag!$N$12:$N$165,"x",Finansieringsforslag!$E$12:$E$165,"45")</f>
        <v>1651</v>
      </c>
      <c r="F171" s="592">
        <f>SUMIFS(Finansieringsforslag!$J$12:$J$165,Finansieringsforslag!$N$12:$N$165,"x",Finansieringsforslag!$E$12:$E$165,"45")</f>
        <v>-349</v>
      </c>
      <c r="G171" s="592">
        <f>SUMIFS(Finansieringsforslag!$K$12:$K$165,Finansieringsforslag!$N$12:$N$165,"x",Finansieringsforslag!$E$12:$E$165,"45")</f>
        <v>-349</v>
      </c>
      <c r="Q171" s="147" t="s">
        <v>155</v>
      </c>
    </row>
    <row r="172" spans="1:17" ht="13.15" thickBot="1" x14ac:dyDescent="0.4">
      <c r="B172" s="28" t="str">
        <f>B14</f>
        <v>Vedtaget budget 2027 - 2030</v>
      </c>
      <c r="D172" s="592">
        <f>SUM(D167:D171)</f>
        <v>98669.373000000007</v>
      </c>
      <c r="E172" s="592">
        <f>SUM(E167:E171)</f>
        <v>98942.656000000003</v>
      </c>
      <c r="F172" s="592">
        <f>SUM(F167:F171)</f>
        <v>97006.358999999997</v>
      </c>
      <c r="G172" s="592">
        <f>SUM(G167:G171)</f>
        <v>97006.358999999997</v>
      </c>
      <c r="J172" s="239">
        <v>102939</v>
      </c>
      <c r="K172" s="239">
        <v>96773</v>
      </c>
      <c r="L172" s="239">
        <v>96836</v>
      </c>
      <c r="M172" s="239">
        <v>96836</v>
      </c>
      <c r="N172" t="s">
        <v>119</v>
      </c>
      <c r="O172" s="147" t="str">
        <f>O59</f>
        <v>24.08.2026</v>
      </c>
    </row>
    <row r="173" spans="1:17" x14ac:dyDescent="0.35">
      <c r="D173" s="592"/>
      <c r="E173" s="592"/>
      <c r="F173" s="592"/>
      <c r="G173" s="592"/>
    </row>
    <row r="174" spans="1:17" x14ac:dyDescent="0.35">
      <c r="D174" s="592"/>
      <c r="E174" s="592"/>
      <c r="F174" s="592"/>
      <c r="G174" s="592"/>
    </row>
    <row r="175" spans="1:17" ht="13.15" thickBot="1" x14ac:dyDescent="0.4">
      <c r="A175" t="s">
        <v>114</v>
      </c>
      <c r="D175" s="592"/>
      <c r="E175" s="592"/>
      <c r="F175" s="592"/>
      <c r="G175" s="592"/>
    </row>
    <row r="176" spans="1:17" ht="13.15" thickBot="1" x14ac:dyDescent="0.4">
      <c r="B176" s="28" t="str">
        <f>B9</f>
        <v>Oprindelig budget 2027-2030</v>
      </c>
      <c r="D176" s="239">
        <v>6177.7839999999997</v>
      </c>
      <c r="E176" s="239">
        <v>6176.7550000000001</v>
      </c>
      <c r="F176" s="239">
        <v>6176.7550000000001</v>
      </c>
      <c r="G176" s="239">
        <v>6176.7550000000001</v>
      </c>
    </row>
    <row r="177" spans="1:15" x14ac:dyDescent="0.35">
      <c r="C177" t="s">
        <v>29</v>
      </c>
      <c r="D177" s="592">
        <f>SUMIFS('Tekniske korrektioner'!F$357:F$360,'Tekniske korrektioner'!$K$357:$K$360,"x",'Tekniske korrektioner'!$C$357:$C$360,"46")+SUMIFS('Tekniske korrektioner'!E$357:E$360,'Tekniske korrektioner'!$K$357:$K$360,"x",'Tekniske korrektioner'!$C$357:$C$360,"46")</f>
        <v>236</v>
      </c>
      <c r="E177" s="592">
        <f>SUMIFS('Tekniske korrektioner'!G$357:G$360,'Tekniske korrektioner'!$K$357:$K$360,"x",'Tekniske korrektioner'!$C$357:$C$360,"46")</f>
        <v>236</v>
      </c>
      <c r="F177" s="592">
        <f>SUMIFS('Tekniske korrektioner'!H$357:H$360,'Tekniske korrektioner'!$K$357:$K$360,"x",'Tekniske korrektioner'!$C$357:$C$360,"46")</f>
        <v>236</v>
      </c>
      <c r="G177" s="592">
        <f>SUMIFS('Tekniske korrektioner'!I$357:I$360,'Tekniske korrektioner'!$K$357:$K$360,"x",'Tekniske korrektioner'!$C$357:$C$360,"46")</f>
        <v>236</v>
      </c>
    </row>
    <row r="178" spans="1:15" x14ac:dyDescent="0.35">
      <c r="C178" s="28" t="s">
        <v>107</v>
      </c>
      <c r="D178" s="592">
        <f>SUMIFS('Afledt drift'!E$13:E$78,'Afledt drift'!$J$13:$J$78,"x",'Afledt drift'!$C$13:$C$78,"46")</f>
        <v>0</v>
      </c>
      <c r="E178" s="592">
        <f>SUMIFS('Afledt drift'!F$13:F$78,'Afledt drift'!$J$13:$J$78,"x",'Afledt drift'!$C$13:$C$78,"46")</f>
        <v>0</v>
      </c>
      <c r="F178" s="592">
        <f>SUMIFS('Afledt drift'!G$13:G$78,'Afledt drift'!$J$13:$J$78,"x",'Afledt drift'!$C$13:$C$78,"46")</f>
        <v>0</v>
      </c>
      <c r="G178" s="592">
        <f>SUMIFS('Afledt drift'!H$13:H$78,'Afledt drift'!$J$13:$J$78,"x",'Afledt drift'!$C$13:$C$78,"46")</f>
        <v>0</v>
      </c>
      <c r="J178" s="594">
        <f>D181-J181</f>
        <v>-78.216000000000349</v>
      </c>
      <c r="K178" s="594">
        <f>E181-K181</f>
        <v>-78.244999999999891</v>
      </c>
      <c r="L178" s="594">
        <f>F181-L181</f>
        <v>-78.244999999999891</v>
      </c>
      <c r="M178" s="594">
        <f>G181-M181</f>
        <v>-78.244999999999891</v>
      </c>
      <c r="O178" t="s">
        <v>110</v>
      </c>
    </row>
    <row r="179" spans="1:15" x14ac:dyDescent="0.35">
      <c r="C179" t="s">
        <v>108</v>
      </c>
      <c r="D179" s="592">
        <f>SUMIFS(Aktivitetsudvidelser!F$14:F$197,Aktivitetsudvidelser!$L$14:$L$197,"x",Aktivitetsudvidelser!$D$14:$D$197,"46")</f>
        <v>0</v>
      </c>
      <c r="E179" s="592">
        <f>SUMIFS(Aktivitetsudvidelser!G$14:G$197,Aktivitetsudvidelser!$L$14:$L$197,"x",Aktivitetsudvidelser!$D$14:$D$197,"46")</f>
        <v>0</v>
      </c>
      <c r="F179" s="592">
        <f>SUMIFS(Aktivitetsudvidelser!H$14:H$197,Aktivitetsudvidelser!$L$14:$L$197,"x",Aktivitetsudvidelser!$D$14:$D$197,"46")</f>
        <v>0</v>
      </c>
      <c r="G179" s="592">
        <f>SUMIFS(Aktivitetsudvidelser!I$14:I$197,Aktivitetsudvidelser!$L$14:$L$197,"x",Aktivitetsudvidelser!$D$14:$D$197,"46")</f>
        <v>0</v>
      </c>
    </row>
    <row r="180" spans="1:15" ht="13.15" thickBot="1" x14ac:dyDescent="0.4">
      <c r="C180" t="s">
        <v>39</v>
      </c>
      <c r="D180" s="592">
        <f>SUMIFS(Finansieringsforslag!H$12:H$165,Finansieringsforslag!$N$12:$N$165,"x",Finansieringsforslag!$E$12:$E$165,"46")</f>
        <v>-78</v>
      </c>
      <c r="E180" s="592">
        <f>SUMIFS(Finansieringsforslag!$I$12:$I$165,Finansieringsforslag!$N$12:$N$165,"x",Finansieringsforslag!$E$12:$E$165,"46")</f>
        <v>-78</v>
      </c>
      <c r="F180" s="592">
        <f>SUMIFS(Finansieringsforslag!$J$12:$J$165,Finansieringsforslag!$N$12:$N$165,"x",Finansieringsforslag!$E$12:$E$165,"46")</f>
        <v>-78</v>
      </c>
      <c r="G180" s="592">
        <f>SUMIFS(Finansieringsforslag!$K$12:$K$165,Finansieringsforslag!$N$12:$N$165,"x",Finansieringsforslag!$E$12:$E$165,"46")</f>
        <v>-78</v>
      </c>
    </row>
    <row r="181" spans="1:15" ht="13.15" thickBot="1" x14ac:dyDescent="0.4">
      <c r="B181" s="28" t="str">
        <f>B14</f>
        <v>Vedtaget budget 2027 - 2030</v>
      </c>
      <c r="D181" s="592">
        <f>SUM(D176:D180)</f>
        <v>6335.7839999999997</v>
      </c>
      <c r="E181" s="592">
        <f>SUM(E176:E180)</f>
        <v>6334.7550000000001</v>
      </c>
      <c r="F181" s="592">
        <f>SUM(F176:F180)</f>
        <v>6334.7550000000001</v>
      </c>
      <c r="G181" s="592">
        <f>SUM(G176:G180)</f>
        <v>6334.7550000000001</v>
      </c>
      <c r="J181" s="239">
        <v>6414</v>
      </c>
      <c r="K181" s="239">
        <v>6413</v>
      </c>
      <c r="L181" s="239">
        <v>6413</v>
      </c>
      <c r="M181" s="239">
        <v>6413</v>
      </c>
      <c r="N181" t="s">
        <v>119</v>
      </c>
      <c r="O181" s="147" t="str">
        <f>O68</f>
        <v>24.08.2026</v>
      </c>
    </row>
    <row r="182" spans="1:15" x14ac:dyDescent="0.35">
      <c r="B182" s="28"/>
      <c r="D182" s="592"/>
      <c r="E182" s="592"/>
      <c r="F182" s="592"/>
      <c r="G182" s="592"/>
      <c r="O182" s="147"/>
    </row>
    <row r="183" spans="1:15" x14ac:dyDescent="0.35">
      <c r="B183" s="28"/>
      <c r="D183" s="592"/>
      <c r="E183" s="592"/>
      <c r="F183" s="592"/>
      <c r="G183" s="592"/>
      <c r="O183" s="147"/>
    </row>
    <row r="184" spans="1:15" ht="13.15" thickBot="1" x14ac:dyDescent="0.4">
      <c r="A184" s="28" t="s">
        <v>441</v>
      </c>
      <c r="D184" s="592"/>
      <c r="E184" s="592"/>
      <c r="F184" s="592"/>
      <c r="G184" s="592"/>
      <c r="O184" s="147"/>
    </row>
    <row r="185" spans="1:15" ht="13.15" thickBot="1" x14ac:dyDescent="0.4">
      <c r="B185" s="28" t="str">
        <f>B9</f>
        <v>Oprindelig budget 2027-2030</v>
      </c>
      <c r="D185" s="239">
        <v>117905.947</v>
      </c>
      <c r="E185" s="239">
        <v>117637.247</v>
      </c>
      <c r="F185" s="239">
        <v>117637.247</v>
      </c>
      <c r="G185" s="239">
        <v>117637.247</v>
      </c>
    </row>
    <row r="186" spans="1:15" x14ac:dyDescent="0.35">
      <c r="C186" t="s">
        <v>29</v>
      </c>
      <c r="D186" s="592">
        <f>SUMIFS('Tekniske korrektioner'!F$363:F$401,'Tekniske korrektioner'!$K$363:$K$401,"x",'Tekniske korrektioner'!$C$363:$C$401,"50")+SUMIFS('Tekniske korrektioner'!E$363:E$401,'Tekniske korrektioner'!$K$363:$K$401,"x",'Tekniske korrektioner'!$C$363:$C$401,"50")</f>
        <v>-509</v>
      </c>
      <c r="E186" s="592">
        <f>SUMIFS('Tekniske korrektioner'!G$363:G$401,'Tekniske korrektioner'!$K$363:$K$401,"x",'Tekniske korrektioner'!$C$363:$C$401,"50")</f>
        <v>-672</v>
      </c>
      <c r="F186" s="592">
        <f>SUMIFS('Tekniske korrektioner'!H$363:H$401,'Tekniske korrektioner'!$K$363:$K$401,"x",'Tekniske korrektioner'!$C$363:$C$401,"50")</f>
        <v>-617</v>
      </c>
      <c r="G186" s="592">
        <f>SUMIFS('Tekniske korrektioner'!I$363:I$374,'Tekniske korrektioner'!$K$363:$K$374,"x",'Tekniske korrektioner'!$C$363:$C$374,"50")</f>
        <v>-616</v>
      </c>
    </row>
    <row r="187" spans="1:15" x14ac:dyDescent="0.35">
      <c r="C187" s="28" t="s">
        <v>107</v>
      </c>
      <c r="D187" s="592">
        <f>SUMIFS('Afledt drift'!E$13:E$78,'Afledt drift'!$J$13:$J$78,"x",'Afledt drift'!$C$13:$C$78,"50")</f>
        <v>0</v>
      </c>
      <c r="E187" s="592">
        <f>SUMIFS('Afledt drift'!F$13:F$78,'Afledt drift'!$J$13:$J$78,"x",'Afledt drift'!$C$13:$C$78,"50")</f>
        <v>0</v>
      </c>
      <c r="F187" s="592">
        <f>SUMIFS('Afledt drift'!G$13:G$78,'Afledt drift'!$J$13:$J$78,"x",'Afledt drift'!$C$13:$C$78,"50")</f>
        <v>0</v>
      </c>
      <c r="G187" s="592">
        <f>SUMIFS('Afledt drift'!H$13:H$78,'Afledt drift'!$J$13:$J$78,"x",'Afledt drift'!$C$13:$C$78,"50")</f>
        <v>0</v>
      </c>
      <c r="J187" s="594">
        <f>D190-J190</f>
        <v>-2300.0529999999999</v>
      </c>
      <c r="K187" s="594">
        <f>E190-K190</f>
        <v>-2298.752999999997</v>
      </c>
      <c r="L187" s="594">
        <f>F190-L190</f>
        <v>-2297.752999999997</v>
      </c>
      <c r="M187" s="594">
        <f>G190-M190</f>
        <v>-2296.752999999997</v>
      </c>
      <c r="O187" t="s">
        <v>110</v>
      </c>
    </row>
    <row r="188" spans="1:15" x14ac:dyDescent="0.35">
      <c r="C188" t="s">
        <v>108</v>
      </c>
      <c r="D188" s="592">
        <f>SUMIFS(Aktivitetsudvidelser!F$14:F$197,Aktivitetsudvidelser!$L$14:$L$197,"x",Aktivitetsudvidelser!$D$14:$D$197,"50")</f>
        <v>0</v>
      </c>
      <c r="E188" s="592">
        <f>SUMIFS(Aktivitetsudvidelser!G$14:G$197,Aktivitetsudvidelser!$L$14:$L$197,"x",Aktivitetsudvidelser!$D$14:$D$197,"50")</f>
        <v>0</v>
      </c>
      <c r="F188" s="592">
        <f>SUMIFS(Aktivitetsudvidelser!H$14:H$197,Aktivitetsudvidelser!$L$14:$L$197,"x",Aktivitetsudvidelser!$D$14:$D$197,"50")</f>
        <v>0</v>
      </c>
      <c r="G188" s="592">
        <f>SUMIFS(Aktivitetsudvidelser!I$14:I$197,Aktivitetsudvidelser!$L$14:$L$197,"x",Aktivitetsudvidelser!$D$14:$D$197,"50")</f>
        <v>0</v>
      </c>
    </row>
    <row r="189" spans="1:15" ht="13.15" thickBot="1" x14ac:dyDescent="0.4">
      <c r="C189" t="s">
        <v>39</v>
      </c>
      <c r="D189" s="592">
        <f>SUMIFS(Finansieringsforslag!H$12:H$169,Finansieringsforslag!$N$12:$N$169,"x",Finansieringsforslag!$E$12:$E$169,"50")</f>
        <v>-19869</v>
      </c>
      <c r="E189" s="592">
        <f>SUMIFS(Finansieringsforslag!$I$12:$I$165,Finansieringsforslag!$N$12:$N$165,"x",Finansieringsforslag!$E$12:$E$165,"50")</f>
        <v>-2300</v>
      </c>
      <c r="F189" s="592">
        <f>SUMIFS(Finansieringsforslag!$J$12:$J$165,Finansieringsforslag!$N$12:$N$165,"x",Finansieringsforslag!$E$12:$E$165,"50")</f>
        <v>-2300</v>
      </c>
      <c r="G189" s="592">
        <f>SUMIFS(Finansieringsforslag!$K$12:$K$165,Finansieringsforslag!$N$12:$N$165,"x",Finansieringsforslag!$E$12:$E$165,"50")</f>
        <v>-2300</v>
      </c>
    </row>
    <row r="190" spans="1:15" ht="13.15" thickBot="1" x14ac:dyDescent="0.4">
      <c r="B190" s="28" t="str">
        <f>B14</f>
        <v>Vedtaget budget 2027 - 2030</v>
      </c>
      <c r="D190" s="592">
        <f>SUM(D185:D189)</f>
        <v>97527.947</v>
      </c>
      <c r="E190" s="592">
        <f>SUM(E185:E189)</f>
        <v>114665.247</v>
      </c>
      <c r="F190" s="592">
        <f>SUM(F185:F189)</f>
        <v>114720.247</v>
      </c>
      <c r="G190" s="592">
        <f>SUM(G185:G189)</f>
        <v>114721.247</v>
      </c>
      <c r="J190" s="239">
        <v>99828</v>
      </c>
      <c r="K190" s="239">
        <v>116964</v>
      </c>
      <c r="L190" s="239">
        <v>117018</v>
      </c>
      <c r="M190" s="239">
        <v>117018</v>
      </c>
      <c r="N190" t="s">
        <v>119</v>
      </c>
      <c r="O190" s="147" t="str">
        <f>O181</f>
        <v>24.08.2026</v>
      </c>
    </row>
    <row r="191" spans="1:15" x14ac:dyDescent="0.35">
      <c r="D191" s="592"/>
      <c r="E191" s="592"/>
      <c r="F191" s="592"/>
      <c r="G191" s="592"/>
    </row>
    <row r="192" spans="1:15" x14ac:dyDescent="0.35">
      <c r="D192" s="592"/>
      <c r="E192" s="592"/>
      <c r="F192" s="592"/>
      <c r="G192" s="592"/>
    </row>
    <row r="193" spans="1:14" x14ac:dyDescent="0.35">
      <c r="A193" t="s">
        <v>115</v>
      </c>
      <c r="D193" s="592">
        <f>SUM(D8:D190)/2</f>
        <v>3987883.6939999992</v>
      </c>
      <c r="E193" s="592">
        <f>SUM(E8:E190)/2</f>
        <v>4053486.387000001</v>
      </c>
      <c r="F193" s="592">
        <f>SUM(F8:F190)/2</f>
        <v>4066377.7120000003</v>
      </c>
      <c r="G193" s="592">
        <f>SUM(G8:G190)/2</f>
        <v>4059985.7120000003</v>
      </c>
      <c r="J193" s="593">
        <f>SUM(J181,J172,J163,J154,J145,J136,J120,J111,J102,J93,J84,J68,J59,J50,J32,J23,J14,J41,J190,J128)</f>
        <v>4031283</v>
      </c>
      <c r="K193" s="593">
        <f t="shared" ref="K193:M193" si="0">SUM(K181,K172,K163,K154,K145,K136,K120,K111,K102,K93,K84,K68,K59,K50,K32,K23,K14,K41,K190,K128)</f>
        <v>4084307</v>
      </c>
      <c r="L193" s="593">
        <f t="shared" si="0"/>
        <v>4119671</v>
      </c>
      <c r="M193" s="593">
        <f t="shared" si="0"/>
        <v>4133990</v>
      </c>
    </row>
    <row r="194" spans="1:14" x14ac:dyDescent="0.35">
      <c r="D194" s="592"/>
      <c r="E194" s="592"/>
      <c r="F194" s="592"/>
      <c r="G194" s="592"/>
    </row>
    <row r="195" spans="1:14" x14ac:dyDescent="0.35">
      <c r="D195" s="592"/>
      <c r="E195" s="592"/>
      <c r="F195" s="592"/>
      <c r="G195" s="592"/>
      <c r="J195" s="593">
        <f>D193-J193</f>
        <v>-43399.306000000797</v>
      </c>
      <c r="K195" s="593">
        <f>E193-K193</f>
        <v>-30820.612999998964</v>
      </c>
      <c r="L195" s="593">
        <f>F193-L193</f>
        <v>-53293.287999999709</v>
      </c>
      <c r="M195" s="593">
        <f>G193-M193</f>
        <v>-74004.287999999709</v>
      </c>
      <c r="N195" t="s">
        <v>121</v>
      </c>
    </row>
    <row r="196" spans="1:14" x14ac:dyDescent="0.35">
      <c r="A196" t="s">
        <v>116</v>
      </c>
      <c r="D196" s="592"/>
      <c r="E196" s="592"/>
      <c r="F196" s="592"/>
      <c r="G196" s="592"/>
    </row>
    <row r="197" spans="1:14" x14ac:dyDescent="0.35">
      <c r="B197" s="28" t="str">
        <f>B9</f>
        <v>Oprindelig budget 2027-2030</v>
      </c>
      <c r="D197" s="592">
        <f>+D9+D18+D27+D45+D54+D63+D79+D88+D97+D106+D115+D131+D140+D149+D158+D167+D176+D36+D185+D123+D71</f>
        <v>4289914.6940000001</v>
      </c>
      <c r="E197" s="592">
        <f t="shared" ref="E197:G197" si="1">+E9+E18+E27+E45+E54+E63+E79+E88+E97+E106+E115+E131+E140+E149+E158+E167+E176+E36+E185+E123+E71</f>
        <v>4286484.3870000001</v>
      </c>
      <c r="F197" s="592">
        <f t="shared" si="1"/>
        <v>4291899.7120000012</v>
      </c>
      <c r="G197" s="592">
        <f t="shared" si="1"/>
        <v>4291899.7120000012</v>
      </c>
      <c r="J197" s="593"/>
    </row>
    <row r="198" spans="1:14" x14ac:dyDescent="0.35">
      <c r="C198" t="s">
        <v>29</v>
      </c>
      <c r="D198" s="592">
        <f>+D10+D19+D28+D46+D55+D64+D80+D89+D98+D107+D116+D132+D141+D150+D159+D168+D177+D37+D186+D124+D72</f>
        <v>-270662</v>
      </c>
      <c r="E198" s="592">
        <f t="shared" ref="E198:G198" si="2">+E10+E19+E28+E46+E55+E64+E80+E89+E98+E107+E116+E132+E141+E150+E159+E168+E177+E37+E186+E124+E72</f>
        <v>-254505</v>
      </c>
      <c r="F198" s="592">
        <f t="shared" si="2"/>
        <v>-243911</v>
      </c>
      <c r="G198" s="592">
        <f t="shared" si="2"/>
        <v>-232224</v>
      </c>
    </row>
    <row r="199" spans="1:14" x14ac:dyDescent="0.35">
      <c r="C199" s="28" t="s">
        <v>107</v>
      </c>
      <c r="D199" s="592">
        <f>+D11+D20+D29+D47+D56+D65+D81+D90+D99+D108+D117+D133+D142+D151+D160+D169+D178+D38+D187+D125+D73</f>
        <v>-1507</v>
      </c>
      <c r="E199" s="592">
        <f t="shared" ref="E199:G199" si="3">+E11+E20+E29+E47+E56+E65+E81+E90+E99+E108+E117+E133+E142+E151+E160+E169+E178+E38+E187+E125+E73</f>
        <v>-1005</v>
      </c>
      <c r="F199" s="592">
        <f t="shared" si="3"/>
        <v>486</v>
      </c>
      <c r="G199" s="592">
        <f t="shared" si="3"/>
        <v>-125</v>
      </c>
    </row>
    <row r="200" spans="1:14" x14ac:dyDescent="0.35">
      <c r="C200" t="s">
        <v>108</v>
      </c>
      <c r="D200" s="592">
        <f>+D12+D21+D30+D48+D57+D66+D82+D91+D100+D109+D118+D134+D143+D152+D161+D170+D179+D39+D188+D126+D74</f>
        <v>58892</v>
      </c>
      <c r="E200" s="592">
        <f t="shared" ref="E200:G200" si="4">+E12+E21+E30+E48+E57+E66+E82+E91+E100+E109+E118+E134+E143+E152+E161+E170+E179+E39+E188+E126+E74</f>
        <v>82886</v>
      </c>
      <c r="F200" s="592">
        <f t="shared" si="4"/>
        <v>80577</v>
      </c>
      <c r="G200" s="592">
        <f t="shared" si="4"/>
        <v>59984</v>
      </c>
    </row>
    <row r="201" spans="1:14" x14ac:dyDescent="0.35">
      <c r="C201" t="s">
        <v>39</v>
      </c>
      <c r="D201" s="592">
        <f>+D13+D22+D31+D49+D58+D67+D83+D92+D101+D110+D119+D135+D144+D153+D162+D171+D180+D40+D189+D127+D75</f>
        <v>-88754</v>
      </c>
      <c r="E201" s="592">
        <f t="shared" ref="E201:G201" si="5">+E13+E22+E31+E49+E58+E67+E83+E92+E101+E110+E119+E135+E144+E153+E162+E171+E180+E40+E189+E127+E75</f>
        <v>-60374</v>
      </c>
      <c r="F201" s="592">
        <f t="shared" si="5"/>
        <v>-62674</v>
      </c>
      <c r="G201" s="592">
        <f t="shared" si="5"/>
        <v>-59549</v>
      </c>
    </row>
    <row r="202" spans="1:14" x14ac:dyDescent="0.35">
      <c r="B202" s="28" t="str">
        <f>B14</f>
        <v>Vedtaget budget 2027 - 2030</v>
      </c>
      <c r="D202" s="592">
        <f>SUM(D197:D201)</f>
        <v>3987883.6940000001</v>
      </c>
      <c r="E202" s="592">
        <f>SUM(E197:E201)</f>
        <v>4053486.3870000001</v>
      </c>
      <c r="F202" s="592">
        <f>SUM(F197:F201)</f>
        <v>4066377.7120000012</v>
      </c>
      <c r="G202" s="592">
        <f>SUM(G197:G201)</f>
        <v>4059985.7120000012</v>
      </c>
    </row>
    <row r="207" spans="1:14" x14ac:dyDescent="0.35">
      <c r="C207" t="s">
        <v>138</v>
      </c>
      <c r="D207" s="592">
        <f>'Budgetforslag 2027-2030'!C9*1000</f>
        <v>3987984</v>
      </c>
      <c r="E207" s="592">
        <f>'Budgetforslag 2027-2030'!D9*1000</f>
        <v>4053425.0000000005</v>
      </c>
      <c r="F207" s="592">
        <f>'Budgetforslag 2027-2030'!E9*1000</f>
        <v>4066587.9999999995</v>
      </c>
      <c r="G207" s="592">
        <f>'Budgetforslag 2027-2030'!F9*1000</f>
        <v>4060196</v>
      </c>
    </row>
    <row r="208" spans="1:14" x14ac:dyDescent="0.35">
      <c r="C208" t="s">
        <v>137</v>
      </c>
      <c r="D208" s="592">
        <f>D202-D207</f>
        <v>-100.30599999986589</v>
      </c>
      <c r="E208" s="592">
        <f>E202-E207</f>
        <v>61.386999999638647</v>
      </c>
      <c r="F208" s="592">
        <f>F202-F207</f>
        <v>-210.28799999831244</v>
      </c>
      <c r="G208" s="592">
        <f>G202-G207</f>
        <v>-210.2879999987781</v>
      </c>
    </row>
  </sheetData>
  <pageMargins left="0.7" right="0.7" top="0.75" bottom="0.75" header="0.3" footer="0.3"/>
  <pageSetup paperSize="8" scale="76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14</vt:i4>
      </vt:variant>
      <vt:variant>
        <vt:lpstr>Navngivne områder</vt:lpstr>
      </vt:variant>
      <vt:variant>
        <vt:i4>32</vt:i4>
      </vt:variant>
    </vt:vector>
  </HeadingPairs>
  <TitlesOfParts>
    <vt:vector size="46" baseType="lpstr">
      <vt:lpstr>LOG ændringer</vt:lpstr>
      <vt:lpstr> Balance akt.</vt:lpstr>
      <vt:lpstr> Balance udvalg</vt:lpstr>
      <vt:lpstr>Budgetforslag 2027-2030</vt:lpstr>
      <vt:lpstr>Finansieringsforslag</vt:lpstr>
      <vt:lpstr>Aktivitetsudvidelser</vt:lpstr>
      <vt:lpstr>Anlægsønsker</vt:lpstr>
      <vt:lpstr>Afledt drift</vt:lpstr>
      <vt:lpstr>Tekniske korrektioner</vt:lpstr>
      <vt:lpstr>Korrektioner vedr. finansiering</vt:lpstr>
      <vt:lpstr>Vedtaget budget i 2026</vt:lpstr>
      <vt:lpstr>Ændringer til vedtaget budget</vt:lpstr>
      <vt:lpstr>prisfremskrivning</vt:lpstr>
      <vt:lpstr>Afstemning</vt:lpstr>
      <vt:lpstr>Finansieringsforslag!_GoBack</vt:lpstr>
      <vt:lpstr>Aktivitetsudvidelser!_Toc102655464</vt:lpstr>
      <vt:lpstr>Aktivitetsudvidelser!_Toc102655465</vt:lpstr>
      <vt:lpstr>Aktivitetsudvidelser!_Toc137023395</vt:lpstr>
      <vt:lpstr>Finansieringsforslag!_Toc196311238</vt:lpstr>
      <vt:lpstr>Aktivitetsudvidelser!_Toc196402557</vt:lpstr>
      <vt:lpstr>Aktivitetsudvidelser!_Toc196827022</vt:lpstr>
      <vt:lpstr>Anlægsønsker!_Toc233361828</vt:lpstr>
      <vt:lpstr>Aktivitetsudvidelser!_Toc34638328</vt:lpstr>
      <vt:lpstr>Finansieringsforslag!_Toc34640908</vt:lpstr>
      <vt:lpstr>Aktivitetsudvidelser!_Toc452714605</vt:lpstr>
      <vt:lpstr>Aktivitetsudvidelser!_Toc517946780</vt:lpstr>
      <vt:lpstr>Aktivitetsudvidelser!_Toc67402931</vt:lpstr>
      <vt:lpstr>Anlægsønsker!_Toc72420142</vt:lpstr>
      <vt:lpstr>' Balance akt.'!Udskriftsområde</vt:lpstr>
      <vt:lpstr>' Balance udvalg'!Udskriftsområde</vt:lpstr>
      <vt:lpstr>'Afledt drift'!Udskriftsområde</vt:lpstr>
      <vt:lpstr>Aktivitetsudvidelser!Udskriftsområde</vt:lpstr>
      <vt:lpstr>Anlægsønsker!Udskriftsområde</vt:lpstr>
      <vt:lpstr>'Budgetforslag 2027-2030'!Udskriftsområde</vt:lpstr>
      <vt:lpstr>Finansieringsforslag!Udskriftsområde</vt:lpstr>
      <vt:lpstr>'Korrektioner vedr. finansiering'!Udskriftsområde</vt:lpstr>
      <vt:lpstr>prisfremskrivning!Udskriftsområde</vt:lpstr>
      <vt:lpstr>'Tekniske korrektioner'!Udskriftsområde</vt:lpstr>
      <vt:lpstr>'Vedtaget budget i 2026'!Udskriftsområde</vt:lpstr>
      <vt:lpstr>'Ændringer til vedtaget budget'!Udskriftsområde</vt:lpstr>
      <vt:lpstr>'Afledt drift'!Udskriftstitler</vt:lpstr>
      <vt:lpstr>Aktivitetsudvidelser!Udskriftstitler</vt:lpstr>
      <vt:lpstr>Anlægsønsker!Udskriftstitler</vt:lpstr>
      <vt:lpstr>Finansieringsforslag!Udskriftstitler</vt:lpstr>
      <vt:lpstr>'Korrektioner vedr. finansiering'!Udskriftstitler</vt:lpstr>
      <vt:lpstr>'Tekniske korrektioner'!Udskriftstitler</vt:lpstr>
    </vt:vector>
  </TitlesOfParts>
  <Company>Hillerod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Rasmussen</dc:creator>
  <cp:lastModifiedBy>Stine Østlund</cp:lastModifiedBy>
  <cp:lastPrinted>2026-09-17T19:37:16Z</cp:lastPrinted>
  <dcterms:created xsi:type="dcterms:W3CDTF">1998-08-18T08:24:07Z</dcterms:created>
  <dcterms:modified xsi:type="dcterms:W3CDTF">2026-09-17T22:37:26Z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BExAnalyzer_OldName">
    <vt:lpwstr>Budget 2022-2025 pr. 25.11.20.xlsx</vt:lpwstr>
  </property>
</Properties>
</file>